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192.168.74.130\e$\Share\Ирина-Анастасия\МП Развитие инженерной инфраструктуры, энергоэффективности и отрасли обращения с отходами 2023-2027\Версия 30 проект\"/>
    </mc:Choice>
  </mc:AlternateContent>
  <bookViews>
    <workbookView xWindow="0" yWindow="0" windowWidth="28800" windowHeight="12300"/>
  </bookViews>
  <sheets>
    <sheet name="Приложение 1" sheetId="1" r:id="rId1"/>
    <sheet name="Строительство и реконструкция" sheetId="3" r:id="rId2"/>
    <sheet name="Капитальный ремонт" sheetId="2" r:id="rId3"/>
  </sheets>
  <definedNames>
    <definedName name="_xlnm._FilterDatabase" localSheetId="0" hidden="1">'Приложение 1'!$A$8:$O$481</definedName>
    <definedName name="_xlnm.Print_Titles" localSheetId="2">'Капитальный ремонт'!$7:$9</definedName>
    <definedName name="_xlnm.Print_Titles" localSheetId="0">'Приложение 1'!$8:$9</definedName>
    <definedName name="_xlnm.Print_Titles" localSheetId="1">'Строительство и реконструкция'!$7:$9</definedName>
    <definedName name="_xlnm.Print_Area" localSheetId="2">'Капитальный ремонт'!$A$1:$K$159</definedName>
    <definedName name="_xlnm.Print_Area" localSheetId="0">'Приложение 1'!$A$1:$O$487</definedName>
    <definedName name="_xlnm.Print_Area" localSheetId="1">'Строительство и реконструкция'!$A$1:$R$320</definedName>
  </definedNames>
  <calcPr calcId="162913"/>
</workbook>
</file>

<file path=xl/calcChain.xml><?xml version="1.0" encoding="utf-8"?>
<calcChain xmlns="http://schemas.openxmlformats.org/spreadsheetml/2006/main">
  <c r="N122" i="3" l="1"/>
  <c r="H296" i="3"/>
  <c r="N298" i="3"/>
  <c r="N297" i="3"/>
  <c r="I87" i="2" l="1"/>
  <c r="I85" i="2"/>
  <c r="I86" i="2"/>
  <c r="M119" i="1" l="1"/>
  <c r="M118" i="1"/>
  <c r="M117" i="1"/>
  <c r="N117" i="1"/>
  <c r="N118" i="1"/>
  <c r="N119" i="1"/>
  <c r="M120" i="1"/>
  <c r="N120" i="1"/>
  <c r="I31" i="2" l="1"/>
  <c r="I30" i="2"/>
  <c r="I32" i="2"/>
  <c r="H377" i="1"/>
  <c r="I29" i="2" l="1"/>
  <c r="K295" i="3"/>
  <c r="K294" i="3"/>
  <c r="H284" i="3"/>
  <c r="K293" i="3" l="1"/>
  <c r="P264" i="3"/>
  <c r="M201" i="1"/>
  <c r="M165" i="1" s="1"/>
  <c r="M202" i="1"/>
  <c r="M166" i="1" s="1"/>
  <c r="M200" i="1"/>
  <c r="H293" i="3" l="1"/>
  <c r="O187" i="3" l="1"/>
  <c r="O186" i="3"/>
  <c r="P75" i="3"/>
  <c r="O75" i="3"/>
  <c r="N75" i="3"/>
  <c r="M153" i="1" l="1"/>
  <c r="M154" i="1"/>
  <c r="M152" i="1"/>
  <c r="H181" i="1"/>
  <c r="M194" i="1" l="1"/>
  <c r="M195" i="1"/>
  <c r="M193" i="1"/>
  <c r="O305" i="3"/>
  <c r="O216" i="3" l="1"/>
  <c r="H302" i="3" l="1"/>
  <c r="E55" i="2" l="1"/>
  <c r="E54" i="2"/>
  <c r="E53" i="2"/>
  <c r="E52" i="2"/>
  <c r="H54" i="2"/>
  <c r="H53" i="2"/>
  <c r="H299" i="3" l="1"/>
  <c r="K288" i="3"/>
  <c r="K287" i="3"/>
  <c r="H287" i="3"/>
  <c r="O275" i="3"/>
  <c r="H275" i="3"/>
  <c r="O258" i="3" l="1"/>
  <c r="N257" i="3"/>
  <c r="N256" i="3"/>
  <c r="N260" i="3"/>
  <c r="N259" i="3"/>
  <c r="H252" i="3"/>
  <c r="K252" i="3"/>
  <c r="O252" i="3"/>
  <c r="O254" i="3"/>
  <c r="O253" i="3"/>
  <c r="N252" i="3"/>
  <c r="N254" i="3"/>
  <c r="N253" i="3"/>
  <c r="K251" i="3"/>
  <c r="K250" i="3"/>
  <c r="K249" i="3"/>
  <c r="O249" i="3"/>
  <c r="N249" i="3"/>
  <c r="O251" i="3"/>
  <c r="O250" i="3"/>
  <c r="N251" i="3"/>
  <c r="N250" i="3"/>
  <c r="O122" i="3"/>
  <c r="O121" i="3"/>
  <c r="K54" i="3" l="1"/>
  <c r="H45" i="3"/>
  <c r="K45" i="3"/>
  <c r="H180" i="3"/>
  <c r="H174" i="3"/>
  <c r="H171" i="3"/>
  <c r="H290" i="3"/>
  <c r="N128" i="3" l="1"/>
  <c r="E48" i="1" l="1"/>
  <c r="N121" i="3"/>
  <c r="N120" i="3"/>
  <c r="N475" i="1"/>
  <c r="N474" i="1"/>
  <c r="E404" i="1"/>
  <c r="E402" i="1"/>
  <c r="E403" i="1"/>
  <c r="H403" i="1"/>
  <c r="N403" i="1"/>
  <c r="N402" i="1"/>
  <c r="E420" i="1" l="1"/>
  <c r="H420" i="1"/>
  <c r="H431" i="1"/>
  <c r="E431" i="1"/>
  <c r="E412" i="1"/>
  <c r="E410" i="1"/>
  <c r="H412" i="1"/>
  <c r="E413" i="1"/>
  <c r="E414" i="1"/>
  <c r="E416" i="1"/>
  <c r="H413" i="1"/>
  <c r="H414" i="1"/>
  <c r="E422" i="1"/>
  <c r="H422" i="1"/>
  <c r="H421" i="1"/>
  <c r="H427" i="1" l="1"/>
  <c r="H416" i="1"/>
  <c r="H112" i="3" l="1"/>
  <c r="K239" i="3" l="1"/>
  <c r="H231" i="3"/>
  <c r="K233" i="3"/>
  <c r="K231" i="3" s="1"/>
  <c r="K230" i="3" l="1"/>
  <c r="K227" i="3"/>
  <c r="K224" i="3"/>
  <c r="K221" i="3"/>
  <c r="K218" i="3"/>
  <c r="K215" i="3"/>
  <c r="K212" i="3"/>
  <c r="K263" i="3"/>
  <c r="K260" i="3"/>
  <c r="K257" i="3"/>
  <c r="K254" i="3"/>
  <c r="K248" i="3"/>
  <c r="K245" i="3"/>
  <c r="K236" i="3"/>
  <c r="P266" i="3"/>
  <c r="O266" i="3"/>
  <c r="N266" i="3"/>
  <c r="M266" i="3"/>
  <c r="L266" i="3"/>
  <c r="L265" i="3"/>
  <c r="L264" i="3"/>
  <c r="K266" i="3" l="1"/>
  <c r="H12" i="3"/>
  <c r="K12" i="3"/>
  <c r="E161" i="1" l="1"/>
  <c r="F161" i="1"/>
  <c r="G161" i="1"/>
  <c r="H161" i="1"/>
  <c r="M161" i="1"/>
  <c r="N161" i="1"/>
  <c r="E162" i="1"/>
  <c r="F162" i="1"/>
  <c r="G162" i="1"/>
  <c r="H162" i="1"/>
  <c r="M162" i="1"/>
  <c r="N162" i="1"/>
  <c r="E163" i="1"/>
  <c r="F163" i="1"/>
  <c r="G163" i="1"/>
  <c r="H163" i="1"/>
  <c r="M163" i="1"/>
  <c r="N163" i="1"/>
  <c r="P265" i="3" l="1"/>
  <c r="H254" i="1"/>
  <c r="H246" i="1"/>
  <c r="M403" i="1" l="1"/>
  <c r="H159" i="1" l="1"/>
  <c r="H160" i="1"/>
  <c r="H158" i="1"/>
  <c r="F158" i="1"/>
  <c r="E159" i="1"/>
  <c r="E160" i="1"/>
  <c r="E158" i="1"/>
  <c r="O208" i="3"/>
  <c r="N208" i="3"/>
  <c r="O206" i="3"/>
  <c r="K205" i="3"/>
  <c r="K203" i="3" s="1"/>
  <c r="K204" i="3"/>
  <c r="P203" i="3"/>
  <c r="O203" i="3"/>
  <c r="N203" i="3"/>
  <c r="N206" i="3" s="1"/>
  <c r="M203" i="3"/>
  <c r="L203" i="3"/>
  <c r="I203" i="3"/>
  <c r="K202" i="3"/>
  <c r="K200" i="3" s="1"/>
  <c r="H200" i="3" s="1"/>
  <c r="K201" i="3"/>
  <c r="P200" i="3"/>
  <c r="O200" i="3"/>
  <c r="N200" i="3"/>
  <c r="M200" i="3"/>
  <c r="L200" i="3"/>
  <c r="I200" i="3"/>
  <c r="H190" i="3"/>
  <c r="K191" i="3"/>
  <c r="K190" i="3" s="1"/>
  <c r="P208" i="3"/>
  <c r="M208" i="3"/>
  <c r="L208" i="3"/>
  <c r="P207" i="3"/>
  <c r="O207" i="3"/>
  <c r="N207" i="3"/>
  <c r="M207" i="3"/>
  <c r="L207" i="3"/>
  <c r="M206" i="3"/>
  <c r="K198" i="3"/>
  <c r="K207" i="3" s="1"/>
  <c r="P197" i="3"/>
  <c r="P206" i="3" s="1"/>
  <c r="O197" i="3"/>
  <c r="M197" i="3"/>
  <c r="L197" i="3"/>
  <c r="L206" i="3" s="1"/>
  <c r="I197" i="3"/>
  <c r="P195" i="3"/>
  <c r="O195" i="3"/>
  <c r="M195" i="3"/>
  <c r="L195" i="3"/>
  <c r="P194" i="3"/>
  <c r="O194" i="3"/>
  <c r="N194" i="3"/>
  <c r="M194" i="3"/>
  <c r="L194" i="3"/>
  <c r="N195" i="3"/>
  <c r="K192" i="3"/>
  <c r="K195" i="3" s="1"/>
  <c r="P190" i="3"/>
  <c r="P193" i="3" s="1"/>
  <c r="O190" i="3"/>
  <c r="O193" i="3" s="1"/>
  <c r="N190" i="3"/>
  <c r="N193" i="3" s="1"/>
  <c r="M190" i="3"/>
  <c r="M193" i="3" s="1"/>
  <c r="L190" i="3"/>
  <c r="L193" i="3" s="1"/>
  <c r="I190" i="3"/>
  <c r="G158" i="1"/>
  <c r="N158" i="1"/>
  <c r="M158" i="1"/>
  <c r="H250" i="1"/>
  <c r="H396" i="1"/>
  <c r="K208" i="3" l="1"/>
  <c r="K206" i="3"/>
  <c r="H203" i="3"/>
  <c r="N197" i="3"/>
  <c r="K199" i="3"/>
  <c r="K193" i="3"/>
  <c r="K194" i="3"/>
  <c r="K197" i="3" l="1"/>
  <c r="E59" i="1"/>
  <c r="E14" i="2"/>
  <c r="M59" i="1"/>
  <c r="M57" i="1" s="1"/>
  <c r="M58" i="1"/>
  <c r="H59" i="1"/>
  <c r="F58" i="1"/>
  <c r="G58" i="1"/>
  <c r="E58" i="1"/>
  <c r="H197" i="3" l="1"/>
  <c r="E57" i="1"/>
  <c r="I17" i="2"/>
  <c r="E17" i="2"/>
  <c r="E12" i="2" s="1"/>
  <c r="I12" i="2"/>
  <c r="I14" i="2"/>
  <c r="F13" i="2"/>
  <c r="G13" i="2"/>
  <c r="H13" i="2"/>
  <c r="I13" i="2"/>
  <c r="J13" i="2"/>
  <c r="E18" i="2"/>
  <c r="E13" i="2" s="1"/>
  <c r="E19" i="2"/>
  <c r="J17" i="2"/>
  <c r="H17" i="2"/>
  <c r="G17" i="2"/>
  <c r="F17" i="2"/>
  <c r="L77" i="3"/>
  <c r="N77" i="3"/>
  <c r="O77" i="3"/>
  <c r="P77" i="3"/>
  <c r="L76" i="3"/>
  <c r="M76" i="3"/>
  <c r="N76" i="3"/>
  <c r="O76" i="3"/>
  <c r="P76" i="3"/>
  <c r="K73" i="3"/>
  <c r="K74" i="3"/>
  <c r="K71" i="3"/>
  <c r="O72" i="3"/>
  <c r="P72" i="3"/>
  <c r="M117" i="3"/>
  <c r="N117" i="3"/>
  <c r="O117" i="3"/>
  <c r="L116" i="3"/>
  <c r="M116" i="3"/>
  <c r="N116" i="3"/>
  <c r="O116" i="3"/>
  <c r="K114" i="3"/>
  <c r="K113" i="3"/>
  <c r="P112" i="3"/>
  <c r="O112" i="3"/>
  <c r="N112" i="3"/>
  <c r="M112" i="3"/>
  <c r="L112" i="3"/>
  <c r="O81" i="3"/>
  <c r="O80" i="3"/>
  <c r="K211" i="3"/>
  <c r="K72" i="3" l="1"/>
  <c r="H72" i="3" s="1"/>
  <c r="K112" i="3"/>
  <c r="H428" i="1" l="1"/>
  <c r="E428" i="1"/>
  <c r="N144" i="3" l="1"/>
  <c r="N143" i="3"/>
  <c r="E64" i="1" l="1"/>
  <c r="E63" i="1" s="1"/>
  <c r="N63" i="1"/>
  <c r="M63" i="1"/>
  <c r="H63" i="1"/>
  <c r="G63" i="1"/>
  <c r="F63" i="1"/>
  <c r="H433" i="1" l="1"/>
  <c r="H432" i="1" s="1"/>
  <c r="H440" i="1"/>
  <c r="E440" i="1" s="1"/>
  <c r="E437" i="1"/>
  <c r="F15" i="2" l="1"/>
  <c r="F12" i="2" s="1"/>
  <c r="G15" i="2"/>
  <c r="G12" i="2" s="1"/>
  <c r="H15" i="2"/>
  <c r="H12" i="2" s="1"/>
  <c r="I15" i="2"/>
  <c r="J15" i="2"/>
  <c r="E15" i="2"/>
  <c r="J12" i="2"/>
  <c r="N57" i="1"/>
  <c r="F57" i="1"/>
  <c r="G57" i="1"/>
  <c r="H57" i="1"/>
  <c r="E16" i="2"/>
  <c r="J14" i="2"/>
  <c r="H14" i="2"/>
  <c r="G14" i="2"/>
  <c r="F14" i="2"/>
  <c r="N149" i="3"/>
  <c r="P102" i="3"/>
  <c r="P117" i="3" s="1"/>
  <c r="P101" i="3"/>
  <c r="P100" i="3" l="1"/>
  <c r="P116" i="3"/>
  <c r="N153" i="3"/>
  <c r="N154" i="3"/>
  <c r="E427" i="1" l="1"/>
  <c r="H392" i="1"/>
  <c r="H154" i="2" l="1"/>
  <c r="H146" i="2"/>
  <c r="H118" i="2"/>
  <c r="H122" i="2"/>
  <c r="H114" i="2"/>
  <c r="N183" i="3" l="1"/>
  <c r="O165" i="3"/>
  <c r="N165" i="3"/>
  <c r="H165" i="3" l="1"/>
  <c r="N270" i="3"/>
  <c r="K111" i="3" l="1"/>
  <c r="K110" i="3"/>
  <c r="K256" i="3"/>
  <c r="K253" i="3"/>
  <c r="K262" i="3"/>
  <c r="K259" i="3"/>
  <c r="K210" i="3"/>
  <c r="K217" i="3"/>
  <c r="P228" i="3"/>
  <c r="O228" i="3"/>
  <c r="K229" i="3"/>
  <c r="K265" i="3" l="1"/>
  <c r="E169" i="1" s="1"/>
  <c r="K228" i="3"/>
  <c r="K255" i="3"/>
  <c r="H391" i="1"/>
  <c r="N215" i="3"/>
  <c r="H404" i="1"/>
  <c r="N265" i="3" l="1"/>
  <c r="N100" i="3" l="1"/>
  <c r="N306" i="3" l="1"/>
  <c r="O48" i="3" l="1"/>
  <c r="N54" i="3" l="1"/>
  <c r="H112" i="2"/>
  <c r="H116" i="2"/>
  <c r="H120" i="2"/>
  <c r="H128" i="2"/>
  <c r="H144" i="2"/>
  <c r="H152" i="2"/>
  <c r="H95" i="2"/>
  <c r="H94" i="2"/>
  <c r="H97" i="2"/>
  <c r="O133" i="3" l="1"/>
  <c r="O132" i="3"/>
  <c r="N42" i="3"/>
  <c r="N60" i="3"/>
  <c r="H228" i="3" l="1"/>
  <c r="P128" i="3" l="1"/>
  <c r="O128" i="3"/>
  <c r="P131" i="3" l="1"/>
  <c r="O131" i="3"/>
  <c r="N131" i="3"/>
  <c r="K130" i="3"/>
  <c r="K129" i="3"/>
  <c r="K128" i="3"/>
  <c r="P54" i="3" l="1"/>
  <c r="O54" i="3"/>
  <c r="E184" i="1" l="1"/>
  <c r="G182" i="1"/>
  <c r="E182" i="1" s="1"/>
  <c r="F403" i="1" l="1"/>
  <c r="G403" i="1"/>
  <c r="L283" i="1"/>
  <c r="K283" i="1"/>
  <c r="J283" i="1"/>
  <c r="I283" i="1"/>
  <c r="E455" i="1"/>
  <c r="E454" i="1"/>
  <c r="N453" i="1"/>
  <c r="M453" i="1"/>
  <c r="H453" i="1"/>
  <c r="G453" i="1"/>
  <c r="F453" i="1"/>
  <c r="E275" i="1"/>
  <c r="E266" i="1"/>
  <c r="E262" i="1"/>
  <c r="N261" i="1"/>
  <c r="N258" i="1" s="1"/>
  <c r="M261" i="1"/>
  <c r="M258" i="1" s="1"/>
  <c r="H261" i="1"/>
  <c r="H258" i="1" s="1"/>
  <c r="G261" i="1"/>
  <c r="G258" i="1" s="1"/>
  <c r="F261" i="1"/>
  <c r="F258" i="1" s="1"/>
  <c r="E260" i="1"/>
  <c r="E227" i="1"/>
  <c r="F229" i="1"/>
  <c r="H229" i="1"/>
  <c r="M229" i="1"/>
  <c r="F230" i="1"/>
  <c r="G230" i="1"/>
  <c r="G228" i="1" s="1"/>
  <c r="H230" i="1"/>
  <c r="M230" i="1"/>
  <c r="F231" i="1"/>
  <c r="G231" i="1"/>
  <c r="H231" i="1"/>
  <c r="M231" i="1"/>
  <c r="N231" i="1"/>
  <c r="E233" i="1"/>
  <c r="E107" i="1"/>
  <c r="E106" i="1"/>
  <c r="E105" i="1"/>
  <c r="N104" i="1"/>
  <c r="M104" i="1"/>
  <c r="H104" i="1"/>
  <c r="G104" i="1"/>
  <c r="F104" i="1"/>
  <c r="E103" i="1"/>
  <c r="E102" i="1"/>
  <c r="E101" i="1"/>
  <c r="N100" i="1"/>
  <c r="M100" i="1"/>
  <c r="H100" i="1"/>
  <c r="G100" i="1"/>
  <c r="F100" i="1"/>
  <c r="E453" i="1" l="1"/>
  <c r="E104" i="1"/>
  <c r="E100" i="1"/>
  <c r="E261" i="1"/>
  <c r="E258" i="1" s="1"/>
  <c r="E231" i="1"/>
  <c r="M228" i="1"/>
  <c r="H228" i="1"/>
  <c r="E230" i="1"/>
  <c r="F228" i="1"/>
  <c r="E229" i="1"/>
  <c r="E228" i="1" l="1"/>
  <c r="O106" i="3" l="1"/>
  <c r="H208" i="1" l="1"/>
  <c r="H209" i="1"/>
  <c r="E220" i="1" l="1"/>
  <c r="P109" i="3" l="1"/>
  <c r="O109" i="3"/>
  <c r="N109" i="3"/>
  <c r="M109" i="3"/>
  <c r="L109" i="3"/>
  <c r="M53" i="1" l="1"/>
  <c r="M52" i="1"/>
  <c r="K109" i="3"/>
  <c r="N153" i="1"/>
  <c r="N154" i="1"/>
  <c r="H31" i="2"/>
  <c r="H154" i="1" s="1"/>
  <c r="H30" i="2"/>
  <c r="E39" i="2"/>
  <c r="E34" i="2"/>
  <c r="E33" i="2"/>
  <c r="K143" i="3"/>
  <c r="N142" i="3"/>
  <c r="K140" i="3"/>
  <c r="K137" i="3"/>
  <c r="H29" i="2" l="1"/>
  <c r="H152" i="1" s="1"/>
  <c r="H153" i="1"/>
  <c r="K261" i="3"/>
  <c r="Q77" i="3"/>
  <c r="H17" i="1"/>
  <c r="Q76" i="3"/>
  <c r="Q75" i="3"/>
  <c r="P89" i="3"/>
  <c r="P90" i="3"/>
  <c r="K87" i="3"/>
  <c r="K86" i="3"/>
  <c r="P85" i="3"/>
  <c r="O85" i="3"/>
  <c r="N85" i="3"/>
  <c r="M85" i="3"/>
  <c r="L85" i="3"/>
  <c r="I85" i="3"/>
  <c r="G433" i="1"/>
  <c r="E436" i="1"/>
  <c r="E426" i="1"/>
  <c r="E417" i="1"/>
  <c r="G416" i="1"/>
  <c r="G414" i="1" s="1"/>
  <c r="G392" i="1"/>
  <c r="E157" i="1"/>
  <c r="G154" i="1"/>
  <c r="F154" i="1"/>
  <c r="G153" i="1"/>
  <c r="F153" i="1"/>
  <c r="E43" i="2"/>
  <c r="E42" i="2"/>
  <c r="J41" i="2"/>
  <c r="I41" i="2"/>
  <c r="H41" i="2"/>
  <c r="G41" i="2"/>
  <c r="F41" i="2"/>
  <c r="E40" i="2"/>
  <c r="J38" i="2"/>
  <c r="I38" i="2"/>
  <c r="H38" i="2"/>
  <c r="G38" i="2"/>
  <c r="F38" i="2"/>
  <c r="E37" i="2"/>
  <c r="E36" i="2"/>
  <c r="J35" i="2"/>
  <c r="I35" i="2"/>
  <c r="H35" i="2"/>
  <c r="G35" i="2"/>
  <c r="F35" i="2"/>
  <c r="J32" i="2"/>
  <c r="H32" i="2"/>
  <c r="G32" i="2"/>
  <c r="F32" i="2"/>
  <c r="J31" i="2"/>
  <c r="J29" i="2" s="1"/>
  <c r="G31" i="2"/>
  <c r="F31" i="2"/>
  <c r="J30" i="2"/>
  <c r="G30" i="2"/>
  <c r="G29" i="2" s="1"/>
  <c r="G152" i="1" s="1"/>
  <c r="F30" i="2"/>
  <c r="F29" i="2" s="1"/>
  <c r="M313" i="3"/>
  <c r="M314" i="3"/>
  <c r="L307" i="3"/>
  <c r="M307" i="3"/>
  <c r="N307" i="3"/>
  <c r="O307" i="3"/>
  <c r="P307" i="3"/>
  <c r="P306" i="3"/>
  <c r="L306" i="3"/>
  <c r="M306" i="3"/>
  <c r="O306" i="3"/>
  <c r="N177" i="3"/>
  <c r="N152" i="3"/>
  <c r="H152" i="3" s="1"/>
  <c r="M142" i="3"/>
  <c r="M139" i="3"/>
  <c r="M138" i="3"/>
  <c r="N136" i="3"/>
  <c r="O136" i="3"/>
  <c r="P136" i="3"/>
  <c r="Q136" i="3"/>
  <c r="N139" i="3"/>
  <c r="O139" i="3"/>
  <c r="P139" i="3"/>
  <c r="O142" i="3"/>
  <c r="P142" i="3"/>
  <c r="K133" i="3"/>
  <c r="K131" i="3"/>
  <c r="M131" i="3"/>
  <c r="M133" i="3"/>
  <c r="H261" i="3" l="1"/>
  <c r="E35" i="2"/>
  <c r="E38" i="2"/>
  <c r="E41" i="2"/>
  <c r="E32" i="2"/>
  <c r="M136" i="3"/>
  <c r="K138" i="3"/>
  <c r="K136" i="3" s="1"/>
  <c r="H136" i="3" s="1"/>
  <c r="E31" i="2"/>
  <c r="E154" i="1" s="1"/>
  <c r="E30" i="2"/>
  <c r="K85" i="3"/>
  <c r="H85" i="3" s="1"/>
  <c r="O261" i="3"/>
  <c r="E153" i="1" l="1"/>
  <c r="E29" i="2"/>
  <c r="E152" i="1" s="1"/>
  <c r="M245" i="1"/>
  <c r="N245" i="1"/>
  <c r="H245" i="1"/>
  <c r="N24" i="1"/>
  <c r="N23" i="1"/>
  <c r="P79" i="3"/>
  <c r="O79" i="3"/>
  <c r="O82" i="3"/>
  <c r="P82" i="3"/>
  <c r="Q117" i="3"/>
  <c r="Q116" i="3"/>
  <c r="Q115" i="3"/>
  <c r="Q97" i="3"/>
  <c r="Q96" i="3"/>
  <c r="Q89" i="3"/>
  <c r="Q90" i="3"/>
  <c r="Q88" i="3"/>
  <c r="P88" i="3" l="1"/>
  <c r="N22" i="1" s="1"/>
  <c r="N18" i="1"/>
  <c r="P51" i="3"/>
  <c r="K51" i="3" s="1"/>
  <c r="O60" i="3"/>
  <c r="P60" i="3"/>
  <c r="K70" i="3" l="1"/>
  <c r="P69" i="3"/>
  <c r="K69" i="3" s="1"/>
  <c r="E40" i="1"/>
  <c r="E37" i="1"/>
  <c r="E461" i="1" l="1"/>
  <c r="E460" i="1"/>
  <c r="N459" i="1"/>
  <c r="M459" i="1"/>
  <c r="H459" i="1"/>
  <c r="G459" i="1"/>
  <c r="F459" i="1"/>
  <c r="E449" i="1"/>
  <c r="E448" i="1"/>
  <c r="N447" i="1"/>
  <c r="M447" i="1"/>
  <c r="M402" i="1" s="1"/>
  <c r="H447" i="1"/>
  <c r="G447" i="1"/>
  <c r="F447" i="1"/>
  <c r="H375" i="1"/>
  <c r="O265" i="3"/>
  <c r="Q261" i="3"/>
  <c r="P261" i="3"/>
  <c r="N261" i="3"/>
  <c r="M261" i="3"/>
  <c r="L261" i="3"/>
  <c r="E459" i="1" l="1"/>
  <c r="E447" i="1"/>
  <c r="K67" i="3"/>
  <c r="P66" i="3"/>
  <c r="K66" i="3" s="1"/>
  <c r="K68" i="3"/>
  <c r="K62" i="3"/>
  <c r="K61" i="3"/>
  <c r="K59" i="3"/>
  <c r="K58" i="3"/>
  <c r="K57" i="3"/>
  <c r="K60" i="3" l="1"/>
  <c r="K56" i="3"/>
  <c r="K55" i="3"/>
  <c r="M54" i="3"/>
  <c r="L54" i="3"/>
  <c r="I54" i="3"/>
  <c r="K53" i="3"/>
  <c r="K52" i="3"/>
  <c r="K50" i="3"/>
  <c r="K49" i="3"/>
  <c r="P48" i="3"/>
  <c r="N48" i="3"/>
  <c r="M48" i="3"/>
  <c r="L48" i="3"/>
  <c r="I48" i="3"/>
  <c r="K48" i="3" l="1"/>
  <c r="N89" i="3"/>
  <c r="H23" i="1" s="1"/>
  <c r="H13" i="1" s="1"/>
  <c r="H43" i="1" s="1"/>
  <c r="O89" i="3"/>
  <c r="M23" i="1" s="1"/>
  <c r="N90" i="3"/>
  <c r="H24" i="1" s="1"/>
  <c r="O90" i="3"/>
  <c r="M24" i="1" s="1"/>
  <c r="K83" i="3"/>
  <c r="K84" i="3"/>
  <c r="N82" i="3"/>
  <c r="M82" i="3"/>
  <c r="L82" i="3"/>
  <c r="I82" i="3"/>
  <c r="M90" i="3"/>
  <c r="L90" i="3"/>
  <c r="M89" i="3"/>
  <c r="L89" i="3"/>
  <c r="K81" i="3"/>
  <c r="K80" i="3"/>
  <c r="N79" i="3"/>
  <c r="M79" i="3"/>
  <c r="M88" i="3" s="1"/>
  <c r="L79" i="3"/>
  <c r="I79" i="3"/>
  <c r="K89" i="3" l="1"/>
  <c r="E23" i="1" s="1"/>
  <c r="K90" i="3"/>
  <c r="E24" i="1" s="1"/>
  <c r="O88" i="3"/>
  <c r="M22" i="1" s="1"/>
  <c r="N88" i="3"/>
  <c r="H22" i="1" s="1"/>
  <c r="K82" i="3"/>
  <c r="H82" i="3" s="1"/>
  <c r="K79" i="3"/>
  <c r="H79" i="3" s="1"/>
  <c r="L88" i="3"/>
  <c r="K88" i="3" l="1"/>
  <c r="E22" i="1"/>
  <c r="N213" i="3" l="1"/>
  <c r="G393" i="1" l="1"/>
  <c r="G391" i="1" l="1"/>
  <c r="Q266" i="3" l="1"/>
  <c r="M265" i="3"/>
  <c r="Q265" i="3"/>
  <c r="Q264" i="3"/>
  <c r="E397" i="1"/>
  <c r="G94" i="2" l="1"/>
  <c r="G95" i="2"/>
  <c r="M68" i="1"/>
  <c r="M50" i="1" s="1"/>
  <c r="O126" i="3"/>
  <c r="K214" i="3" l="1"/>
  <c r="P213" i="3"/>
  <c r="O213" i="3"/>
  <c r="M213" i="3"/>
  <c r="L213" i="3"/>
  <c r="K213" i="3" l="1"/>
  <c r="H213" i="3" l="1"/>
  <c r="E206" i="1"/>
  <c r="N203" i="1"/>
  <c r="M203" i="1"/>
  <c r="H203" i="1"/>
  <c r="N201" i="1"/>
  <c r="F201" i="1"/>
  <c r="N200" i="1"/>
  <c r="F200" i="1"/>
  <c r="E87" i="2"/>
  <c r="E202" i="1" s="1"/>
  <c r="H87" i="2"/>
  <c r="H202" i="1" s="1"/>
  <c r="H86" i="2"/>
  <c r="H201" i="1" s="1"/>
  <c r="G87" i="2"/>
  <c r="G202" i="1" s="1"/>
  <c r="G86" i="2"/>
  <c r="G85" i="2" s="1"/>
  <c r="G200" i="1" s="1"/>
  <c r="G89" i="2"/>
  <c r="E91" i="2"/>
  <c r="E90" i="2"/>
  <c r="E86" i="2" s="1"/>
  <c r="E201" i="1" s="1"/>
  <c r="J89" i="2"/>
  <c r="I89" i="2"/>
  <c r="H89" i="2"/>
  <c r="F89" i="2"/>
  <c r="G201" i="1" l="1"/>
  <c r="H85" i="2"/>
  <c r="H200" i="1" s="1"/>
  <c r="E85" i="2"/>
  <c r="E200" i="1" s="1"/>
  <c r="E89" i="2"/>
  <c r="N119" i="3"/>
  <c r="K119" i="3" s="1"/>
  <c r="F95" i="2" l="1"/>
  <c r="I95" i="2"/>
  <c r="J95" i="2"/>
  <c r="F94" i="2"/>
  <c r="F87" i="2" s="1"/>
  <c r="I94" i="2"/>
  <c r="J94" i="2"/>
  <c r="J87" i="2" s="1"/>
  <c r="M433" i="1" l="1"/>
  <c r="M432" i="1" s="1"/>
  <c r="N433" i="1"/>
  <c r="N432" i="1" s="1"/>
  <c r="G432" i="1"/>
  <c r="F433" i="1"/>
  <c r="F432" i="1"/>
  <c r="M422" i="1"/>
  <c r="M421" i="1" s="1"/>
  <c r="N422" i="1"/>
  <c r="N421" i="1" s="1"/>
  <c r="F422" i="1"/>
  <c r="F421" i="1"/>
  <c r="E425" i="1"/>
  <c r="G424" i="1"/>
  <c r="M414" i="1"/>
  <c r="M413" i="1" s="1"/>
  <c r="N414" i="1"/>
  <c r="N413" i="1" s="1"/>
  <c r="E424" i="1" l="1"/>
  <c r="G422" i="1"/>
  <c r="G412" i="1" s="1"/>
  <c r="G404" i="1" s="1"/>
  <c r="M412" i="1"/>
  <c r="N412" i="1"/>
  <c r="E435" i="1"/>
  <c r="G421" i="1" l="1"/>
  <c r="G413" i="1"/>
  <c r="N187" i="3"/>
  <c r="M187" i="3"/>
  <c r="M188" i="3" l="1"/>
  <c r="M186" i="3" s="1"/>
  <c r="M281" i="3" l="1"/>
  <c r="N281" i="3" l="1"/>
  <c r="H281" i="3" s="1"/>
  <c r="L188" i="3" l="1"/>
  <c r="N188" i="3"/>
  <c r="O188" i="3"/>
  <c r="L187" i="3"/>
  <c r="P187" i="3"/>
  <c r="K185" i="3"/>
  <c r="K184" i="3"/>
  <c r="Q183" i="3"/>
  <c r="P183" i="3"/>
  <c r="N152" i="1" s="1"/>
  <c r="O183" i="3"/>
  <c r="M183" i="3"/>
  <c r="L183" i="3"/>
  <c r="F152" i="1" s="1"/>
  <c r="K182" i="3"/>
  <c r="K181" i="3"/>
  <c r="Q180" i="3"/>
  <c r="P180" i="3"/>
  <c r="O180" i="3"/>
  <c r="N180" i="3"/>
  <c r="M180" i="3"/>
  <c r="L180" i="3"/>
  <c r="H183" i="3" l="1"/>
  <c r="K183" i="3"/>
  <c r="K180" i="3"/>
  <c r="L314" i="3" l="1"/>
  <c r="N314" i="3"/>
  <c r="O314" i="3"/>
  <c r="P314" i="3"/>
  <c r="L313" i="3"/>
  <c r="N313" i="3"/>
  <c r="O313" i="3"/>
  <c r="P313" i="3"/>
  <c r="E155" i="2"/>
  <c r="E154" i="2"/>
  <c r="E153" i="2"/>
  <c r="J152" i="2"/>
  <c r="I152" i="2"/>
  <c r="F152" i="2"/>
  <c r="E152" i="2" l="1"/>
  <c r="G195" i="1"/>
  <c r="H195" i="1"/>
  <c r="G194" i="1"/>
  <c r="H194" i="1"/>
  <c r="E196" i="1" l="1"/>
  <c r="F195" i="1"/>
  <c r="F194" i="1"/>
  <c r="K277" i="3"/>
  <c r="K276" i="3"/>
  <c r="Q275" i="3"/>
  <c r="P275" i="3"/>
  <c r="N275" i="3"/>
  <c r="M275" i="3"/>
  <c r="L275" i="3"/>
  <c r="F193" i="1" l="1"/>
  <c r="K275" i="3"/>
  <c r="G52" i="2"/>
  <c r="E174" i="1" l="1"/>
  <c r="K176" i="3" l="1"/>
  <c r="K175" i="3"/>
  <c r="G146" i="1" l="1"/>
  <c r="K174" i="3"/>
  <c r="G254" i="1"/>
  <c r="G246" i="1"/>
  <c r="E254" i="1" l="1"/>
  <c r="M174" i="3" l="1"/>
  <c r="N174" i="3"/>
  <c r="Q174" i="3"/>
  <c r="P174" i="3"/>
  <c r="O174" i="3"/>
  <c r="L174" i="3"/>
  <c r="M97" i="3" l="1"/>
  <c r="Q255" i="3"/>
  <c r="P255" i="3"/>
  <c r="O255" i="3"/>
  <c r="N255" i="3"/>
  <c r="M255" i="3"/>
  <c r="L255" i="3"/>
  <c r="Q258" i="3"/>
  <c r="P258" i="3"/>
  <c r="N258" i="3"/>
  <c r="M258" i="3"/>
  <c r="L258" i="3"/>
  <c r="K47" i="3"/>
  <c r="K46" i="3"/>
  <c r="P45" i="3"/>
  <c r="O45" i="3"/>
  <c r="N45" i="3"/>
  <c r="M45" i="3"/>
  <c r="L45" i="3"/>
  <c r="I45" i="3"/>
  <c r="K258" i="3" l="1"/>
  <c r="M209" i="1"/>
  <c r="N209" i="1"/>
  <c r="M208" i="1"/>
  <c r="N208" i="1"/>
  <c r="M207" i="1"/>
  <c r="N207" i="1"/>
  <c r="F209" i="1"/>
  <c r="G209" i="1"/>
  <c r="F208" i="1"/>
  <c r="G208" i="1"/>
  <c r="K311" i="3"/>
  <c r="K314" i="3" s="1"/>
  <c r="K310" i="3"/>
  <c r="K313" i="3" s="1"/>
  <c r="P309" i="3"/>
  <c r="P312" i="3" s="1"/>
  <c r="O309" i="3"/>
  <c r="O312" i="3" s="1"/>
  <c r="N309" i="3"/>
  <c r="H309" i="3" s="1"/>
  <c r="M309" i="3"/>
  <c r="M312" i="3" s="1"/>
  <c r="L309" i="3"/>
  <c r="L312" i="3" s="1"/>
  <c r="M217" i="1"/>
  <c r="N217" i="1"/>
  <c r="H217" i="1"/>
  <c r="G215" i="1"/>
  <c r="G216" i="1"/>
  <c r="F216" i="1"/>
  <c r="F215" i="1"/>
  <c r="E189" i="1"/>
  <c r="G47" i="2"/>
  <c r="H47" i="2"/>
  <c r="I47" i="2"/>
  <c r="J47" i="2"/>
  <c r="F46" i="2"/>
  <c r="G46" i="2"/>
  <c r="H46" i="2"/>
  <c r="I46" i="2"/>
  <c r="J46" i="2"/>
  <c r="F51" i="2"/>
  <c r="F47" i="2" s="1"/>
  <c r="E50" i="2"/>
  <c r="J49" i="2"/>
  <c r="I49" i="2"/>
  <c r="H49" i="2"/>
  <c r="H215" i="1"/>
  <c r="F48" i="2"/>
  <c r="G48" i="2"/>
  <c r="H48" i="2"/>
  <c r="I48" i="2"/>
  <c r="J48" i="2"/>
  <c r="E151" i="2"/>
  <c r="E150" i="2"/>
  <c r="E149" i="2"/>
  <c r="J148" i="2"/>
  <c r="I148" i="2"/>
  <c r="H148" i="2"/>
  <c r="F148" i="2"/>
  <c r="E147" i="2"/>
  <c r="E146" i="2"/>
  <c r="E145" i="2"/>
  <c r="J144" i="2"/>
  <c r="I144" i="2"/>
  <c r="F144" i="2"/>
  <c r="E143" i="2"/>
  <c r="E142" i="2"/>
  <c r="J140" i="2"/>
  <c r="I140" i="2"/>
  <c r="H140" i="2"/>
  <c r="G140" i="2"/>
  <c r="F140" i="2"/>
  <c r="E139" i="2"/>
  <c r="E138" i="2"/>
  <c r="E137" i="2"/>
  <c r="E136" i="2" s="1"/>
  <c r="J136" i="2"/>
  <c r="I136" i="2"/>
  <c r="H136" i="2"/>
  <c r="F136" i="2"/>
  <c r="E135" i="2"/>
  <c r="E134" i="2"/>
  <c r="E132" i="2" s="1"/>
  <c r="J132" i="2"/>
  <c r="I132" i="2"/>
  <c r="H132" i="2"/>
  <c r="G132" i="2"/>
  <c r="F132" i="2"/>
  <c r="E131" i="2"/>
  <c r="E130" i="2"/>
  <c r="E129" i="2"/>
  <c r="J128" i="2"/>
  <c r="I128" i="2"/>
  <c r="F128" i="2"/>
  <c r="E127" i="2"/>
  <c r="E126" i="2"/>
  <c r="E125" i="2"/>
  <c r="J124" i="2"/>
  <c r="I124" i="2"/>
  <c r="H124" i="2"/>
  <c r="F124" i="2"/>
  <c r="E123" i="2"/>
  <c r="E122" i="2"/>
  <c r="E121" i="2"/>
  <c r="J120" i="2"/>
  <c r="I120" i="2"/>
  <c r="F120" i="2"/>
  <c r="E119" i="2"/>
  <c r="E118" i="2"/>
  <c r="E117" i="2"/>
  <c r="J116" i="2"/>
  <c r="I116" i="2"/>
  <c r="F116" i="2"/>
  <c r="E115" i="2"/>
  <c r="E114" i="2"/>
  <c r="E113" i="2"/>
  <c r="J112" i="2"/>
  <c r="I112" i="2"/>
  <c r="F112" i="2"/>
  <c r="E111" i="2"/>
  <c r="E110" i="2"/>
  <c r="F108" i="2"/>
  <c r="E107" i="2"/>
  <c r="E106" i="2"/>
  <c r="E105" i="2"/>
  <c r="J104" i="2"/>
  <c r="I104" i="2"/>
  <c r="H104" i="2"/>
  <c r="F104" i="2"/>
  <c r="E103" i="2"/>
  <c r="E102" i="2"/>
  <c r="E100" i="2" s="1"/>
  <c r="J100" i="2"/>
  <c r="I100" i="2"/>
  <c r="H100" i="2"/>
  <c r="G100" i="2"/>
  <c r="F100" i="2"/>
  <c r="E99" i="2"/>
  <c r="E98" i="2"/>
  <c r="J97" i="2"/>
  <c r="I97" i="2"/>
  <c r="G97" i="2"/>
  <c r="F97" i="2"/>
  <c r="F93" i="2" l="1"/>
  <c r="F86" i="2" s="1"/>
  <c r="G93" i="2"/>
  <c r="N312" i="3"/>
  <c r="H207" i="1"/>
  <c r="E116" i="2"/>
  <c r="F85" i="2"/>
  <c r="J85" i="2"/>
  <c r="H93" i="2"/>
  <c r="J93" i="2"/>
  <c r="J86" i="2" s="1"/>
  <c r="E148" i="2"/>
  <c r="I93" i="2"/>
  <c r="E95" i="2"/>
  <c r="E216" i="1" s="1"/>
  <c r="E104" i="2"/>
  <c r="E94" i="2"/>
  <c r="E215" i="1" s="1"/>
  <c r="N215" i="1"/>
  <c r="E51" i="2"/>
  <c r="M215" i="1"/>
  <c r="N216" i="1"/>
  <c r="M216" i="1"/>
  <c r="F49" i="2"/>
  <c r="E49" i="2" s="1"/>
  <c r="E128" i="2"/>
  <c r="E112" i="2"/>
  <c r="E124" i="2"/>
  <c r="H216" i="1"/>
  <c r="E144" i="2"/>
  <c r="E97" i="2"/>
  <c r="F214" i="1"/>
  <c r="E208" i="1"/>
  <c r="G207" i="1"/>
  <c r="F207" i="1"/>
  <c r="K309" i="3"/>
  <c r="E209" i="1"/>
  <c r="E108" i="2"/>
  <c r="E120" i="2"/>
  <c r="E140" i="2"/>
  <c r="M214" i="1" l="1"/>
  <c r="N214" i="1"/>
  <c r="K312" i="3"/>
  <c r="G214" i="1"/>
  <c r="H214" i="1"/>
  <c r="E93" i="2"/>
  <c r="E207" i="1"/>
  <c r="E214" i="1" l="1"/>
  <c r="F148" i="1"/>
  <c r="H148" i="1"/>
  <c r="M148" i="1"/>
  <c r="P188" i="3"/>
  <c r="N148" i="1" s="1"/>
  <c r="F147" i="1"/>
  <c r="G147" i="1"/>
  <c r="H147" i="1"/>
  <c r="M147" i="1"/>
  <c r="L160" i="3"/>
  <c r="M160" i="3"/>
  <c r="N160" i="3"/>
  <c r="O160" i="3"/>
  <c r="P160" i="3"/>
  <c r="L159" i="3"/>
  <c r="M159" i="3"/>
  <c r="N159" i="3"/>
  <c r="O159" i="3"/>
  <c r="K173" i="3"/>
  <c r="K172" i="3"/>
  <c r="Q171" i="3"/>
  <c r="P171" i="3"/>
  <c r="O171" i="3"/>
  <c r="N171" i="3"/>
  <c r="M171" i="3"/>
  <c r="L171" i="3"/>
  <c r="K170" i="3"/>
  <c r="K169" i="3"/>
  <c r="Q168" i="3"/>
  <c r="P168" i="3"/>
  <c r="O168" i="3"/>
  <c r="N168" i="3"/>
  <c r="H168" i="3" s="1"/>
  <c r="M168" i="3"/>
  <c r="L168" i="3"/>
  <c r="K167" i="3"/>
  <c r="K166" i="3"/>
  <c r="Q165" i="3"/>
  <c r="P165" i="3"/>
  <c r="M165" i="3"/>
  <c r="L165" i="3"/>
  <c r="K164" i="3"/>
  <c r="K163" i="3"/>
  <c r="Q162" i="3"/>
  <c r="P162" i="3"/>
  <c r="O162" i="3"/>
  <c r="N162" i="3"/>
  <c r="H162" i="3" s="1"/>
  <c r="M162" i="3"/>
  <c r="L162" i="3"/>
  <c r="E151" i="1"/>
  <c r="K162" i="3" l="1"/>
  <c r="N186" i="3"/>
  <c r="H146" i="1" s="1"/>
  <c r="K171" i="3"/>
  <c r="M158" i="3"/>
  <c r="P186" i="3"/>
  <c r="N146" i="1" s="1"/>
  <c r="N147" i="1"/>
  <c r="G148" i="1"/>
  <c r="M146" i="1"/>
  <c r="L186" i="3"/>
  <c r="F146" i="1" s="1"/>
  <c r="K168" i="3"/>
  <c r="K165" i="3"/>
  <c r="E145" i="1"/>
  <c r="G142" i="1"/>
  <c r="N158" i="3"/>
  <c r="H140" i="1" s="1"/>
  <c r="O158" i="3"/>
  <c r="G141" i="1"/>
  <c r="M152" i="3"/>
  <c r="H142" i="1"/>
  <c r="M140" i="1" l="1"/>
  <c r="M142" i="1"/>
  <c r="M141" i="1"/>
  <c r="G140" i="1"/>
  <c r="H141" i="1"/>
  <c r="H92" i="3"/>
  <c r="E434" i="1" l="1"/>
  <c r="E423" i="1"/>
  <c r="F415" i="1"/>
  <c r="E421" i="1" l="1"/>
  <c r="E432" i="1"/>
  <c r="E433" i="1"/>
  <c r="E415" i="1"/>
  <c r="F414" i="1"/>
  <c r="K301" i="3"/>
  <c r="K300" i="3"/>
  <c r="Q299" i="3"/>
  <c r="P299" i="3"/>
  <c r="O299" i="3"/>
  <c r="N299" i="3"/>
  <c r="M299" i="3"/>
  <c r="L299" i="3"/>
  <c r="K304" i="3"/>
  <c r="K303" i="3"/>
  <c r="Q302" i="3"/>
  <c r="P302" i="3"/>
  <c r="O302" i="3"/>
  <c r="N302" i="3"/>
  <c r="M302" i="3"/>
  <c r="L302" i="3"/>
  <c r="K298" i="3"/>
  <c r="K297" i="3"/>
  <c r="Q296" i="3"/>
  <c r="P296" i="3"/>
  <c r="O296" i="3"/>
  <c r="N296" i="3"/>
  <c r="M296" i="3"/>
  <c r="L296" i="3"/>
  <c r="K292" i="3"/>
  <c r="K291" i="3"/>
  <c r="Q290" i="3"/>
  <c r="P290" i="3"/>
  <c r="O290" i="3"/>
  <c r="N290" i="3"/>
  <c r="M290" i="3"/>
  <c r="L290" i="3"/>
  <c r="K289" i="3"/>
  <c r="Q287" i="3"/>
  <c r="P287" i="3"/>
  <c r="O287" i="3"/>
  <c r="N287" i="3"/>
  <c r="M287" i="3"/>
  <c r="L287" i="3"/>
  <c r="Q293" i="3"/>
  <c r="P293" i="3"/>
  <c r="O293" i="3"/>
  <c r="N293" i="3"/>
  <c r="M293" i="3"/>
  <c r="L293" i="3"/>
  <c r="F413" i="1" l="1"/>
  <c r="F412" i="1"/>
  <c r="F404" i="1" s="1"/>
  <c r="K299" i="3"/>
  <c r="K302" i="3"/>
  <c r="K296" i="3"/>
  <c r="K290" i="3"/>
  <c r="Q186" i="3" l="1"/>
  <c r="K286" i="3"/>
  <c r="K285" i="3"/>
  <c r="Q284" i="3"/>
  <c r="P284" i="3"/>
  <c r="O284" i="3"/>
  <c r="N284" i="3"/>
  <c r="M284" i="3"/>
  <c r="L284" i="3"/>
  <c r="K157" i="3"/>
  <c r="K156" i="3"/>
  <c r="Q155" i="3"/>
  <c r="P155" i="3"/>
  <c r="O155" i="3"/>
  <c r="N155" i="3"/>
  <c r="M155" i="3"/>
  <c r="L155" i="3"/>
  <c r="K283" i="3"/>
  <c r="K282" i="3"/>
  <c r="Q281" i="3"/>
  <c r="P281" i="3"/>
  <c r="O281" i="3"/>
  <c r="L281" i="3"/>
  <c r="K179" i="3"/>
  <c r="K188" i="3" s="1"/>
  <c r="E148" i="1" s="1"/>
  <c r="K178" i="3"/>
  <c r="K187" i="3" s="1"/>
  <c r="Q177" i="3"/>
  <c r="P177" i="3"/>
  <c r="O177" i="3"/>
  <c r="H177" i="3" s="1"/>
  <c r="M177" i="3"/>
  <c r="L177" i="3"/>
  <c r="K280" i="3"/>
  <c r="K279" i="3"/>
  <c r="Q278" i="3"/>
  <c r="P278" i="3"/>
  <c r="O278" i="3"/>
  <c r="N278" i="3"/>
  <c r="M278" i="3"/>
  <c r="L278" i="3"/>
  <c r="M305" i="3" l="1"/>
  <c r="L305" i="3"/>
  <c r="N305" i="3"/>
  <c r="H193" i="1" s="1"/>
  <c r="H278" i="3"/>
  <c r="P305" i="3"/>
  <c r="K306" i="3"/>
  <c r="E194" i="1" s="1"/>
  <c r="K307" i="3"/>
  <c r="E195" i="1" s="1"/>
  <c r="G193" i="1"/>
  <c r="K186" i="3"/>
  <c r="E146" i="1" s="1"/>
  <c r="E147" i="1"/>
  <c r="K284" i="3"/>
  <c r="K177" i="3"/>
  <c r="K278" i="3"/>
  <c r="K281" i="3"/>
  <c r="K155" i="3"/>
  <c r="H155" i="3" s="1"/>
  <c r="G25" i="2"/>
  <c r="K305" i="3" l="1"/>
  <c r="E193" i="1" s="1"/>
  <c r="N210" i="3"/>
  <c r="Q160" i="3" l="1"/>
  <c r="P159" i="3"/>
  <c r="F24" i="2"/>
  <c r="F136" i="1" s="1"/>
  <c r="G24" i="2"/>
  <c r="G136" i="1" s="1"/>
  <c r="H24" i="2"/>
  <c r="H136" i="1" s="1"/>
  <c r="I24" i="2"/>
  <c r="M136" i="1" s="1"/>
  <c r="J24" i="2"/>
  <c r="N136" i="1" s="1"/>
  <c r="F23" i="2"/>
  <c r="F22" i="2" s="1"/>
  <c r="F134" i="1" s="1"/>
  <c r="G23" i="2"/>
  <c r="G135" i="1" s="1"/>
  <c r="H23" i="2"/>
  <c r="H22" i="2" s="1"/>
  <c r="H134" i="1" s="1"/>
  <c r="I23" i="2"/>
  <c r="M135" i="1" s="1"/>
  <c r="J23" i="2"/>
  <c r="E27" i="2"/>
  <c r="E24" i="2" s="1"/>
  <c r="E136" i="1" s="1"/>
  <c r="E26" i="2"/>
  <c r="E23" i="2" s="1"/>
  <c r="J25" i="2"/>
  <c r="I25" i="2"/>
  <c r="H25" i="2"/>
  <c r="F25" i="2"/>
  <c r="F142" i="1"/>
  <c r="K154" i="3"/>
  <c r="K160" i="3" s="1"/>
  <c r="K153" i="3"/>
  <c r="K159" i="3" s="1"/>
  <c r="Q152" i="3"/>
  <c r="P152" i="3"/>
  <c r="O152" i="3"/>
  <c r="L152" i="3"/>
  <c r="J22" i="2" l="1"/>
  <c r="N134" i="1" s="1"/>
  <c r="F135" i="1"/>
  <c r="N135" i="1"/>
  <c r="H135" i="1"/>
  <c r="E135" i="1"/>
  <c r="E22" i="2"/>
  <c r="E134" i="1" s="1"/>
  <c r="I22" i="2"/>
  <c r="M134" i="1" s="1"/>
  <c r="G22" i="2"/>
  <c r="G134" i="1" s="1"/>
  <c r="K158" i="3"/>
  <c r="E140" i="1" s="1"/>
  <c r="P158" i="3"/>
  <c r="N141" i="1"/>
  <c r="N142" i="1"/>
  <c r="L158" i="3"/>
  <c r="F140" i="1" s="1"/>
  <c r="Q158" i="3"/>
  <c r="E141" i="1"/>
  <c r="F141" i="1"/>
  <c r="E25" i="2"/>
  <c r="K152" i="3"/>
  <c r="E396" i="1"/>
  <c r="E142" i="1" l="1"/>
  <c r="N140" i="1"/>
  <c r="G187" i="1"/>
  <c r="G188" i="1"/>
  <c r="F187" i="1"/>
  <c r="F188" i="1"/>
  <c r="M272" i="3"/>
  <c r="P273" i="3"/>
  <c r="O273" i="3"/>
  <c r="N273" i="3"/>
  <c r="H188" i="1" s="1"/>
  <c r="M273" i="3"/>
  <c r="L273" i="3"/>
  <c r="P272" i="3"/>
  <c r="O272" i="3"/>
  <c r="N272" i="3"/>
  <c r="H187" i="1" s="1"/>
  <c r="L272" i="3"/>
  <c r="G169" i="1"/>
  <c r="K270" i="3"/>
  <c r="E188" i="1" s="1"/>
  <c r="K269" i="3"/>
  <c r="P268" i="3"/>
  <c r="P271" i="3" s="1"/>
  <c r="O268" i="3"/>
  <c r="O271" i="3" s="1"/>
  <c r="N268" i="3"/>
  <c r="M268" i="3"/>
  <c r="M271" i="3" s="1"/>
  <c r="L268" i="3"/>
  <c r="L271" i="3" s="1"/>
  <c r="I268" i="3"/>
  <c r="N271" i="3" l="1"/>
  <c r="H186" i="1" s="1"/>
  <c r="K268" i="3"/>
  <c r="H268" i="3" s="1"/>
  <c r="K273" i="3"/>
  <c r="K271" i="3"/>
  <c r="F186" i="1"/>
  <c r="E187" i="1"/>
  <c r="G186" i="1"/>
  <c r="K272" i="3"/>
  <c r="E186" i="1" l="1"/>
  <c r="M234" i="3"/>
  <c r="E443" i="1" l="1"/>
  <c r="E442" i="1"/>
  <c r="E441" i="1" s="1"/>
  <c r="N441" i="1"/>
  <c r="M441" i="1"/>
  <c r="H441" i="1"/>
  <c r="G441" i="1"/>
  <c r="F441" i="1"/>
  <c r="F245" i="1" l="1"/>
  <c r="E213" i="1"/>
  <c r="E21" i="1" l="1"/>
  <c r="L108" i="3" l="1"/>
  <c r="L117" i="3" s="1"/>
  <c r="L141" i="3"/>
  <c r="K141" i="3" s="1"/>
  <c r="K139" i="3" s="1"/>
  <c r="H139" i="3" s="1"/>
  <c r="L144" i="3"/>
  <c r="K144" i="3" s="1"/>
  <c r="K142" i="3" s="1"/>
  <c r="H142" i="3" l="1"/>
  <c r="N126" i="3"/>
  <c r="M124" i="3" l="1"/>
  <c r="N124" i="3"/>
  <c r="E69" i="2"/>
  <c r="E57" i="2"/>
  <c r="E77" i="2"/>
  <c r="E65" i="2"/>
  <c r="E61" i="2"/>
  <c r="E73" i="2"/>
  <c r="E46" i="2" l="1"/>
  <c r="K132" i="3"/>
  <c r="K44" i="3"/>
  <c r="K43" i="3"/>
  <c r="P42" i="3"/>
  <c r="O42" i="3"/>
  <c r="M42" i="3"/>
  <c r="L42" i="3"/>
  <c r="I42" i="3"/>
  <c r="P315" i="3" l="1"/>
  <c r="K42" i="3"/>
  <c r="M14" i="3"/>
  <c r="M77" i="3" s="1"/>
  <c r="G18" i="1" l="1"/>
  <c r="F467" i="1"/>
  <c r="F469" i="1"/>
  <c r="K13" i="3" l="1"/>
  <c r="N133" i="3" l="1"/>
  <c r="P133" i="3"/>
  <c r="Q133" i="3"/>
  <c r="M132" i="3"/>
  <c r="N132" i="3"/>
  <c r="P132" i="3"/>
  <c r="Q132" i="3"/>
  <c r="L133" i="3"/>
  <c r="L132" i="3"/>
  <c r="L131" i="3"/>
  <c r="M150" i="3" l="1"/>
  <c r="Q148" i="3" l="1"/>
  <c r="L106" i="3"/>
  <c r="K107" i="3"/>
  <c r="N150" i="3"/>
  <c r="O150" i="3"/>
  <c r="P150" i="3"/>
  <c r="Q150" i="3"/>
  <c r="O149" i="3"/>
  <c r="P149" i="3"/>
  <c r="Q149" i="3"/>
  <c r="Q128" i="3"/>
  <c r="Q315" i="3" s="1"/>
  <c r="Q131" i="3" l="1"/>
  <c r="K41" i="3"/>
  <c r="K40" i="3"/>
  <c r="K39" i="3"/>
  <c r="K35" i="3"/>
  <c r="K34" i="3"/>
  <c r="K33" i="3"/>
  <c r="K38" i="3"/>
  <c r="K37" i="3"/>
  <c r="K36" i="3"/>
  <c r="E377" i="1" l="1"/>
  <c r="E395" i="1" l="1"/>
  <c r="E81" i="1" l="1"/>
  <c r="P249" i="3" l="1"/>
  <c r="M249" i="3"/>
  <c r="L249" i="3"/>
  <c r="I249" i="3"/>
  <c r="H249" i="3" s="1"/>
  <c r="P252" i="3"/>
  <c r="M252" i="3"/>
  <c r="L252" i="3"/>
  <c r="I252" i="3"/>
  <c r="N216" i="3" l="1"/>
  <c r="K216" i="3" l="1"/>
  <c r="L216" i="3"/>
  <c r="P216" i="3"/>
  <c r="K15" i="3" l="1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14" i="3"/>
  <c r="K63" i="3"/>
  <c r="K64" i="3"/>
  <c r="K65" i="3"/>
  <c r="K77" i="3" l="1"/>
  <c r="K76" i="3"/>
  <c r="F393" i="1"/>
  <c r="H243" i="1" l="1"/>
  <c r="G245" i="1"/>
  <c r="G243" i="1" s="1"/>
  <c r="E244" i="1"/>
  <c r="N243" i="1"/>
  <c r="M243" i="1"/>
  <c r="E245" i="1" l="1"/>
  <c r="E243" i="1" s="1"/>
  <c r="F243" i="1"/>
  <c r="H15" i="1" l="1"/>
  <c r="M15" i="1"/>
  <c r="N15" i="1"/>
  <c r="G15" i="1"/>
  <c r="F15" i="1"/>
  <c r="I246" i="3" l="1"/>
  <c r="I243" i="3"/>
  <c r="F53" i="1" l="1"/>
  <c r="K105" i="3"/>
  <c r="K104" i="3"/>
  <c r="P103" i="3"/>
  <c r="O103" i="3"/>
  <c r="N103" i="3"/>
  <c r="L103" i="3"/>
  <c r="K103" i="3" l="1"/>
  <c r="H103" i="3" s="1"/>
  <c r="M103" i="3"/>
  <c r="F169" i="1" l="1"/>
  <c r="H169" i="1"/>
  <c r="M169" i="1"/>
  <c r="N169" i="1"/>
  <c r="G170" i="1"/>
  <c r="H170" i="1"/>
  <c r="M170" i="1"/>
  <c r="N170" i="1"/>
  <c r="L246" i="3" l="1"/>
  <c r="P246" i="3"/>
  <c r="O246" i="3"/>
  <c r="N246" i="3"/>
  <c r="M246" i="3"/>
  <c r="K246" i="3" l="1"/>
  <c r="H246" i="3" s="1"/>
  <c r="L245" i="3" l="1"/>
  <c r="K242" i="3"/>
  <c r="K240" i="3" s="1"/>
  <c r="H240" i="3" s="1"/>
  <c r="P240" i="3"/>
  <c r="O240" i="3"/>
  <c r="N240" i="3"/>
  <c r="M240" i="3"/>
  <c r="L240" i="3"/>
  <c r="P243" i="3"/>
  <c r="O243" i="3"/>
  <c r="N243" i="3"/>
  <c r="M243" i="3"/>
  <c r="K243" i="3" l="1"/>
  <c r="H243" i="3" s="1"/>
  <c r="F170" i="1"/>
  <c r="L243" i="3"/>
  <c r="F350" i="1" l="1"/>
  <c r="K234" i="3" l="1"/>
  <c r="H234" i="3" s="1"/>
  <c r="P234" i="3"/>
  <c r="O234" i="3"/>
  <c r="N234" i="3"/>
  <c r="L234" i="3"/>
  <c r="N122" i="1"/>
  <c r="N123" i="1"/>
  <c r="M122" i="1"/>
  <c r="M123" i="1"/>
  <c r="H122" i="1"/>
  <c r="H118" i="1" s="1"/>
  <c r="H123" i="1"/>
  <c r="H119" i="1" s="1"/>
  <c r="M149" i="3"/>
  <c r="G122" i="1" s="1"/>
  <c r="G118" i="1" s="1"/>
  <c r="G123" i="1"/>
  <c r="G119" i="1" s="1"/>
  <c r="L149" i="3"/>
  <c r="F122" i="1" s="1"/>
  <c r="F118" i="1" s="1"/>
  <c r="L150" i="3"/>
  <c r="F123" i="1" s="1"/>
  <c r="F119" i="1" s="1"/>
  <c r="K147" i="3"/>
  <c r="K146" i="3"/>
  <c r="P145" i="3"/>
  <c r="O145" i="3"/>
  <c r="N145" i="3"/>
  <c r="N148" i="3" s="1"/>
  <c r="M145" i="3"/>
  <c r="L145" i="3"/>
  <c r="M77" i="1"/>
  <c r="M78" i="1"/>
  <c r="H77" i="1"/>
  <c r="H78" i="1"/>
  <c r="G77" i="1"/>
  <c r="G78" i="1"/>
  <c r="F77" i="1"/>
  <c r="F78" i="1"/>
  <c r="F76" i="1"/>
  <c r="G76" i="1"/>
  <c r="H76" i="1"/>
  <c r="M76" i="1"/>
  <c r="N76" i="1"/>
  <c r="E77" i="1"/>
  <c r="E78" i="1"/>
  <c r="E76" i="1"/>
  <c r="N78" i="1"/>
  <c r="N66" i="1"/>
  <c r="N67" i="1"/>
  <c r="N68" i="1"/>
  <c r="M66" i="1"/>
  <c r="M67" i="1"/>
  <c r="M49" i="1" s="1"/>
  <c r="H66" i="1"/>
  <c r="H67" i="1"/>
  <c r="H68" i="1"/>
  <c r="P124" i="3"/>
  <c r="P125" i="3"/>
  <c r="P126" i="3"/>
  <c r="O124" i="3"/>
  <c r="O125" i="3"/>
  <c r="N125" i="3"/>
  <c r="G66" i="1"/>
  <c r="M125" i="3"/>
  <c r="G67" i="1" s="1"/>
  <c r="M126" i="3"/>
  <c r="G68" i="1" s="1"/>
  <c r="L124" i="3"/>
  <c r="F66" i="1" s="1"/>
  <c r="L125" i="3"/>
  <c r="F67" i="1" s="1"/>
  <c r="L126" i="3"/>
  <c r="F68" i="1" s="1"/>
  <c r="F50" i="1" s="1"/>
  <c r="H53" i="1"/>
  <c r="N53" i="1"/>
  <c r="N50" i="1" s="1"/>
  <c r="F52" i="1"/>
  <c r="F49" i="1" s="1"/>
  <c r="G52" i="1"/>
  <c r="H52" i="1"/>
  <c r="H49" i="1" s="1"/>
  <c r="N52" i="1"/>
  <c r="H50" i="1" l="1"/>
  <c r="H47" i="1" s="1"/>
  <c r="N51" i="1"/>
  <c r="N77" i="1"/>
  <c r="K145" i="3"/>
  <c r="F51" i="1"/>
  <c r="P96" i="3"/>
  <c r="P97" i="3"/>
  <c r="N31" i="1" s="1"/>
  <c r="N14" i="1" s="1"/>
  <c r="N44" i="1" s="1"/>
  <c r="O96" i="3"/>
  <c r="O97" i="3"/>
  <c r="M31" i="1" s="1"/>
  <c r="N96" i="3"/>
  <c r="N97" i="3"/>
  <c r="H31" i="1" s="1"/>
  <c r="M96" i="3"/>
  <c r="G31" i="1"/>
  <c r="L96" i="3"/>
  <c r="L97" i="3"/>
  <c r="F31" i="1" s="1"/>
  <c r="Q95" i="3"/>
  <c r="K237" i="3"/>
  <c r="K264" i="3" s="1"/>
  <c r="P237" i="3"/>
  <c r="O237" i="3"/>
  <c r="N237" i="3"/>
  <c r="M237" i="3"/>
  <c r="L237" i="3"/>
  <c r="P231" i="3"/>
  <c r="O231" i="3"/>
  <c r="N231" i="3"/>
  <c r="M231" i="3"/>
  <c r="L231" i="3"/>
  <c r="K226" i="3"/>
  <c r="P225" i="3"/>
  <c r="O225" i="3"/>
  <c r="N225" i="3"/>
  <c r="M225" i="3"/>
  <c r="L225" i="3"/>
  <c r="K223" i="3"/>
  <c r="P222" i="3"/>
  <c r="O222" i="3"/>
  <c r="N222" i="3"/>
  <c r="M222" i="3"/>
  <c r="L222" i="3"/>
  <c r="K220" i="3"/>
  <c r="P219" i="3"/>
  <c r="O219" i="3"/>
  <c r="N219" i="3"/>
  <c r="M219" i="3"/>
  <c r="L219" i="3"/>
  <c r="P210" i="3"/>
  <c r="O210" i="3"/>
  <c r="M210" i="3"/>
  <c r="L210" i="3"/>
  <c r="L142" i="3"/>
  <c r="L139" i="3"/>
  <c r="L136" i="3"/>
  <c r="K122" i="3"/>
  <c r="K126" i="3" s="1"/>
  <c r="E68" i="1" s="1"/>
  <c r="K121" i="3"/>
  <c r="K125" i="3" s="1"/>
  <c r="K120" i="3"/>
  <c r="K124" i="3" s="1"/>
  <c r="E66" i="1" s="1"/>
  <c r="P119" i="3"/>
  <c r="O119" i="3"/>
  <c r="O315" i="3" s="1"/>
  <c r="M119" i="3"/>
  <c r="L119" i="3"/>
  <c r="L123" i="3" s="1"/>
  <c r="F65" i="1" s="1"/>
  <c r="K108" i="3"/>
  <c r="P106" i="3"/>
  <c r="P115" i="3" s="1"/>
  <c r="N106" i="3"/>
  <c r="N115" i="3" s="1"/>
  <c r="M106" i="3"/>
  <c r="K101" i="3"/>
  <c r="K116" i="3" s="1"/>
  <c r="O100" i="3"/>
  <c r="O115" i="3" s="1"/>
  <c r="L100" i="3"/>
  <c r="L115" i="3" s="1"/>
  <c r="K94" i="3"/>
  <c r="K97" i="3" s="1"/>
  <c r="K93" i="3"/>
  <c r="K96" i="3" s="1"/>
  <c r="P92" i="3"/>
  <c r="P95" i="3" s="1"/>
  <c r="N29" i="1" s="1"/>
  <c r="O92" i="3"/>
  <c r="O95" i="3" s="1"/>
  <c r="M29" i="1" s="1"/>
  <c r="N92" i="3"/>
  <c r="N95" i="3" s="1"/>
  <c r="H29" i="1" s="1"/>
  <c r="M92" i="3"/>
  <c r="M95" i="3" s="1"/>
  <c r="L92" i="3"/>
  <c r="L95" i="3" s="1"/>
  <c r="F29" i="1" s="1"/>
  <c r="I92" i="3"/>
  <c r="I315" i="3" s="1"/>
  <c r="P12" i="3"/>
  <c r="O12" i="3"/>
  <c r="N12" i="3"/>
  <c r="L12" i="3"/>
  <c r="L75" i="3" s="1"/>
  <c r="E168" i="1" l="1"/>
  <c r="N315" i="3"/>
  <c r="H16" i="1"/>
  <c r="L315" i="3"/>
  <c r="O264" i="3"/>
  <c r="M168" i="1" s="1"/>
  <c r="E52" i="1"/>
  <c r="N264" i="3"/>
  <c r="H168" i="1" s="1"/>
  <c r="M51" i="1"/>
  <c r="E170" i="1"/>
  <c r="N16" i="1"/>
  <c r="F168" i="1"/>
  <c r="M264" i="3"/>
  <c r="G168" i="1" s="1"/>
  <c r="N168" i="1"/>
  <c r="N123" i="3"/>
  <c r="M148" i="3"/>
  <c r="G121" i="1" s="1"/>
  <c r="K150" i="3"/>
  <c r="E123" i="1" s="1"/>
  <c r="H121" i="1"/>
  <c r="H145" i="3"/>
  <c r="E31" i="1"/>
  <c r="G29" i="1"/>
  <c r="H237" i="3"/>
  <c r="O148" i="3"/>
  <c r="P148" i="3"/>
  <c r="K106" i="3"/>
  <c r="G53" i="1"/>
  <c r="K225" i="3"/>
  <c r="L148" i="3"/>
  <c r="F121" i="1" s="1"/>
  <c r="M100" i="3"/>
  <c r="M115" i="3" s="1"/>
  <c r="K149" i="3"/>
  <c r="E122" i="1" s="1"/>
  <c r="K102" i="3"/>
  <c r="M123" i="3"/>
  <c r="G65" i="1" s="1"/>
  <c r="H65" i="1"/>
  <c r="O123" i="3"/>
  <c r="M65" i="1"/>
  <c r="K222" i="3"/>
  <c r="N65" i="1"/>
  <c r="P123" i="3"/>
  <c r="Q123" i="3"/>
  <c r="E67" i="1"/>
  <c r="F30" i="1"/>
  <c r="H18" i="1"/>
  <c r="H14" i="1" s="1"/>
  <c r="G30" i="1"/>
  <c r="M18" i="1"/>
  <c r="M14" i="1" s="1"/>
  <c r="M44" i="1" s="1"/>
  <c r="E30" i="1"/>
  <c r="M17" i="1"/>
  <c r="M13" i="1" s="1"/>
  <c r="M43" i="1" s="1"/>
  <c r="H30" i="1"/>
  <c r="G17" i="1"/>
  <c r="N17" i="1"/>
  <c r="N13" i="1" s="1"/>
  <c r="N43" i="1" s="1"/>
  <c r="M30" i="1"/>
  <c r="F18" i="1"/>
  <c r="N30" i="1"/>
  <c r="F17" i="1"/>
  <c r="M12" i="3"/>
  <c r="M75" i="3" s="1"/>
  <c r="K92" i="3"/>
  <c r="K95" i="3" s="1"/>
  <c r="F16" i="1"/>
  <c r="E18" i="1"/>
  <c r="E17" i="1"/>
  <c r="M16" i="1"/>
  <c r="K219" i="3"/>
  <c r="K117" i="3" l="1"/>
  <c r="E53" i="1" s="1"/>
  <c r="M315" i="3"/>
  <c r="G16" i="1"/>
  <c r="H210" i="3"/>
  <c r="G51" i="1"/>
  <c r="G50" i="1"/>
  <c r="E50" i="1" s="1"/>
  <c r="H12" i="1"/>
  <c r="H44" i="1"/>
  <c r="M12" i="1"/>
  <c r="N12" i="1"/>
  <c r="K148" i="3"/>
  <c r="E121" i="1" s="1"/>
  <c r="N121" i="1"/>
  <c r="M121" i="1"/>
  <c r="H315" i="3"/>
  <c r="E29" i="1"/>
  <c r="H219" i="3"/>
  <c r="K100" i="3"/>
  <c r="H222" i="3"/>
  <c r="H225" i="3"/>
  <c r="Q126" i="3"/>
  <c r="K123" i="3"/>
  <c r="E65" i="1" s="1"/>
  <c r="Q125" i="3"/>
  <c r="Q124" i="3"/>
  <c r="E406" i="1"/>
  <c r="E405" i="1" s="1"/>
  <c r="N405" i="1"/>
  <c r="M405" i="1"/>
  <c r="H405" i="1"/>
  <c r="G405" i="1"/>
  <c r="F405" i="1"/>
  <c r="K75" i="3" l="1"/>
  <c r="E16" i="1" s="1"/>
  <c r="K315" i="3"/>
  <c r="K115" i="3"/>
  <c r="F392" i="1"/>
  <c r="F391" i="1" s="1"/>
  <c r="E51" i="1" l="1"/>
  <c r="E83" i="2"/>
  <c r="E82" i="2"/>
  <c r="J80" i="2"/>
  <c r="N202" i="1" s="1"/>
  <c r="I80" i="2"/>
  <c r="H80" i="2"/>
  <c r="G80" i="2"/>
  <c r="F80" i="2"/>
  <c r="F202" i="1" s="1"/>
  <c r="E79" i="2"/>
  <c r="E78" i="2"/>
  <c r="J76" i="2"/>
  <c r="I76" i="2"/>
  <c r="H76" i="2"/>
  <c r="G76" i="2"/>
  <c r="F76" i="2"/>
  <c r="E75" i="2"/>
  <c r="E74" i="2"/>
  <c r="E72" i="2" s="1"/>
  <c r="J72" i="2"/>
  <c r="I72" i="2"/>
  <c r="H72" i="2"/>
  <c r="G72" i="2"/>
  <c r="F72" i="2"/>
  <c r="E71" i="2"/>
  <c r="E70" i="2"/>
  <c r="J68" i="2"/>
  <c r="I68" i="2"/>
  <c r="H68" i="2"/>
  <c r="G68" i="2"/>
  <c r="F68" i="2"/>
  <c r="E67" i="2"/>
  <c r="E66" i="2"/>
  <c r="J64" i="2"/>
  <c r="I64" i="2"/>
  <c r="H64" i="2"/>
  <c r="G64" i="2"/>
  <c r="F64" i="2"/>
  <c r="E63" i="2"/>
  <c r="E62" i="2"/>
  <c r="J60" i="2"/>
  <c r="I60" i="2"/>
  <c r="H60" i="2"/>
  <c r="G60" i="2"/>
  <c r="F60" i="2"/>
  <c r="E59" i="2"/>
  <c r="E58" i="2"/>
  <c r="J56" i="2"/>
  <c r="I56" i="2"/>
  <c r="H56" i="2"/>
  <c r="G56" i="2"/>
  <c r="F56" i="2"/>
  <c r="J52" i="2"/>
  <c r="I52" i="2"/>
  <c r="H52" i="2"/>
  <c r="F52" i="2"/>
  <c r="N177" i="1"/>
  <c r="M177" i="1"/>
  <c r="H177" i="1"/>
  <c r="G177" i="1"/>
  <c r="G166" i="1" s="1"/>
  <c r="G282" i="1" s="1"/>
  <c r="F177" i="1"/>
  <c r="F166" i="1" s="1"/>
  <c r="F282" i="1" s="1"/>
  <c r="N176" i="1"/>
  <c r="M176" i="1"/>
  <c r="H176" i="1"/>
  <c r="H165" i="1" s="1"/>
  <c r="H281" i="1" s="1"/>
  <c r="G176" i="1"/>
  <c r="G165" i="1" s="1"/>
  <c r="G281" i="1" s="1"/>
  <c r="F176" i="1"/>
  <c r="F165" i="1" s="1"/>
  <c r="F281" i="1" s="1"/>
  <c r="H166" i="1" l="1"/>
  <c r="H282" i="1" s="1"/>
  <c r="G45" i="2"/>
  <c r="F45" i="2"/>
  <c r="J45" i="2"/>
  <c r="I45" i="2"/>
  <c r="M175" i="1" s="1"/>
  <c r="E48" i="2"/>
  <c r="H45" i="2"/>
  <c r="H175" i="1" s="1"/>
  <c r="H164" i="1" s="1"/>
  <c r="E47" i="2"/>
  <c r="F175" i="1"/>
  <c r="G178" i="1"/>
  <c r="M178" i="1"/>
  <c r="M182" i="1"/>
  <c r="H178" i="1"/>
  <c r="H182" i="1"/>
  <c r="N178" i="1"/>
  <c r="N182" i="1"/>
  <c r="F178" i="1"/>
  <c r="F182" i="1"/>
  <c r="G175" i="1"/>
  <c r="G164" i="1" s="1"/>
  <c r="E76" i="2"/>
  <c r="E176" i="1"/>
  <c r="E165" i="1" s="1"/>
  <c r="E177" i="1"/>
  <c r="E166" i="1" s="1"/>
  <c r="E56" i="2"/>
  <c r="E68" i="2"/>
  <c r="E64" i="2"/>
  <c r="E60" i="2"/>
  <c r="E80" i="2"/>
  <c r="F164" i="1" l="1"/>
  <c r="E45" i="2"/>
  <c r="N175" i="1"/>
  <c r="E175" i="1" s="1"/>
  <c r="E164" i="1" s="1"/>
  <c r="E181" i="1"/>
  <c r="E127" i="1"/>
  <c r="E56" i="1"/>
  <c r="F167" i="1" l="1"/>
  <c r="F283" i="1" s="1"/>
  <c r="G167" i="1"/>
  <c r="G283" i="1" s="1"/>
  <c r="E178" i="1"/>
  <c r="E171" i="1"/>
  <c r="H167" i="1"/>
  <c r="H283" i="1" s="1"/>
  <c r="H279" i="1" s="1"/>
  <c r="M167" i="1"/>
  <c r="M283" i="1" s="1"/>
  <c r="N167" i="1"/>
  <c r="N283" i="1" s="1"/>
  <c r="E167" i="1" l="1"/>
  <c r="H48" i="1" l="1"/>
  <c r="M48" i="1"/>
  <c r="M47" i="1" s="1"/>
  <c r="N48" i="1"/>
  <c r="F48" i="1"/>
  <c r="G48" i="1" l="1"/>
  <c r="G112" i="1" s="1"/>
  <c r="F47" i="1" l="1"/>
  <c r="H112" i="1"/>
  <c r="M112" i="1"/>
  <c r="N112" i="1"/>
  <c r="F112" i="1"/>
  <c r="E112" i="1" l="1"/>
  <c r="E393" i="1"/>
  <c r="F357" i="1" l="1"/>
  <c r="F348" i="1" s="1"/>
  <c r="E348" i="1" s="1"/>
  <c r="G357" i="1"/>
  <c r="H357" i="1"/>
  <c r="M357" i="1"/>
  <c r="N357" i="1"/>
  <c r="E359" i="1"/>
  <c r="E357" i="1" s="1"/>
  <c r="G410" i="1" l="1"/>
  <c r="H410" i="1" l="1"/>
  <c r="N410" i="1"/>
  <c r="M410" i="1"/>
  <c r="E411" i="1"/>
  <c r="F410" i="1"/>
  <c r="N93" i="1"/>
  <c r="M93" i="1"/>
  <c r="H93" i="1"/>
  <c r="G93" i="1"/>
  <c r="F93" i="1"/>
  <c r="G89" i="1"/>
  <c r="H89" i="1"/>
  <c r="M89" i="1"/>
  <c r="N89" i="1"/>
  <c r="F89" i="1"/>
  <c r="E83" i="1"/>
  <c r="E84" i="1"/>
  <c r="E85" i="1"/>
  <c r="E90" i="1"/>
  <c r="E91" i="1"/>
  <c r="E92" i="1"/>
  <c r="E94" i="1"/>
  <c r="E95" i="1"/>
  <c r="E96" i="1"/>
  <c r="E93" i="1" l="1"/>
  <c r="E89" i="1"/>
  <c r="G49" i="1"/>
  <c r="G47" i="1" l="1"/>
  <c r="E292" i="1"/>
  <c r="E291" i="1"/>
  <c r="E290" i="1"/>
  <c r="F289" i="1"/>
  <c r="G289" i="1"/>
  <c r="H289" i="1"/>
  <c r="M289" i="1"/>
  <c r="N289" i="1"/>
  <c r="G288" i="1"/>
  <c r="G299" i="1" s="1"/>
  <c r="H288" i="1"/>
  <c r="H299" i="1" s="1"/>
  <c r="M288" i="1"/>
  <c r="M299" i="1" s="1"/>
  <c r="N288" i="1"/>
  <c r="N299" i="1" s="1"/>
  <c r="F288" i="1"/>
  <c r="F299" i="1" s="1"/>
  <c r="G287" i="1"/>
  <c r="G298" i="1" s="1"/>
  <c r="H287" i="1"/>
  <c r="H298" i="1" s="1"/>
  <c r="M287" i="1"/>
  <c r="N287" i="1"/>
  <c r="N298" i="1" s="1"/>
  <c r="F287" i="1"/>
  <c r="F298" i="1" s="1"/>
  <c r="G286" i="1"/>
  <c r="G297" i="1" s="1"/>
  <c r="H286" i="1"/>
  <c r="M286" i="1"/>
  <c r="M297" i="1" s="1"/>
  <c r="N286" i="1"/>
  <c r="N297" i="1" s="1"/>
  <c r="F286" i="1"/>
  <c r="F297" i="1" s="1"/>
  <c r="G476" i="1"/>
  <c r="M476" i="1"/>
  <c r="F476" i="1"/>
  <c r="G466" i="1"/>
  <c r="G475" i="1" s="1"/>
  <c r="H466" i="1"/>
  <c r="H465" i="1" s="1"/>
  <c r="M466" i="1"/>
  <c r="M465" i="1" s="1"/>
  <c r="N466" i="1"/>
  <c r="F466" i="1"/>
  <c r="F465" i="1" s="1"/>
  <c r="E467" i="1"/>
  <c r="F468" i="1"/>
  <c r="G468" i="1"/>
  <c r="H468" i="1"/>
  <c r="M468" i="1"/>
  <c r="N468" i="1"/>
  <c r="E470" i="1"/>
  <c r="G385" i="1"/>
  <c r="H385" i="1"/>
  <c r="M385" i="1"/>
  <c r="N385" i="1"/>
  <c r="F385" i="1"/>
  <c r="E469" i="1"/>
  <c r="E390" i="1"/>
  <c r="H476" i="1" l="1"/>
  <c r="E468" i="1"/>
  <c r="G474" i="1"/>
  <c r="H402" i="1"/>
  <c r="G296" i="1"/>
  <c r="H285" i="1"/>
  <c r="E287" i="1"/>
  <c r="H475" i="1"/>
  <c r="H474" i="1" s="1"/>
  <c r="E466" i="1"/>
  <c r="E465" i="1" s="1"/>
  <c r="G465" i="1"/>
  <c r="N465" i="1"/>
  <c r="M475" i="1"/>
  <c r="M474" i="1" s="1"/>
  <c r="G285" i="1"/>
  <c r="F296" i="1"/>
  <c r="E299" i="1"/>
  <c r="G402" i="1"/>
  <c r="H297" i="1"/>
  <c r="F475" i="1"/>
  <c r="F474" i="1" s="1"/>
  <c r="M298" i="1"/>
  <c r="N296" i="1"/>
  <c r="N285" i="1"/>
  <c r="E288" i="1"/>
  <c r="E289" i="1"/>
  <c r="M285" i="1"/>
  <c r="E286" i="1"/>
  <c r="F285" i="1"/>
  <c r="N476" i="1"/>
  <c r="E476" i="1" s="1"/>
  <c r="F402" i="1"/>
  <c r="M296" i="1" l="1"/>
  <c r="E297" i="1"/>
  <c r="E285" i="1"/>
  <c r="E475" i="1"/>
  <c r="E474" i="1" s="1"/>
  <c r="H296" i="1"/>
  <c r="E298" i="1"/>
  <c r="F120" i="1"/>
  <c r="G120" i="1"/>
  <c r="H120" i="1"/>
  <c r="E124" i="1"/>
  <c r="E130" i="1"/>
  <c r="E119" i="1" s="1"/>
  <c r="E129" i="1"/>
  <c r="E118" i="1" s="1"/>
  <c r="F128" i="1"/>
  <c r="F117" i="1" s="1"/>
  <c r="G128" i="1"/>
  <c r="G117" i="1" s="1"/>
  <c r="H128" i="1"/>
  <c r="H117" i="1" s="1"/>
  <c r="M128" i="1"/>
  <c r="N128" i="1"/>
  <c r="M282" i="1"/>
  <c r="N166" i="1"/>
  <c r="N282" i="1" s="1"/>
  <c r="M281" i="1"/>
  <c r="N165" i="1"/>
  <c r="N281" i="1" s="1"/>
  <c r="E296" i="1" l="1"/>
  <c r="M164" i="1"/>
  <c r="E120" i="1"/>
  <c r="E128" i="1"/>
  <c r="E117" i="1" s="1"/>
  <c r="N164" i="1"/>
  <c r="E36" i="1" l="1"/>
  <c r="E35" i="1" s="1"/>
  <c r="G35" i="1"/>
  <c r="H35" i="1"/>
  <c r="F35" i="1" l="1"/>
  <c r="F14" i="1"/>
  <c r="F44" i="1" s="1"/>
  <c r="G14" i="1"/>
  <c r="G44" i="1" s="1"/>
  <c r="N35" i="1"/>
  <c r="M35" i="1"/>
  <c r="E14" i="1" l="1"/>
  <c r="H478" i="1"/>
  <c r="F478" i="1"/>
  <c r="G478" i="1"/>
  <c r="M478" i="1"/>
  <c r="N478" i="1" l="1"/>
  <c r="N41" i="1"/>
  <c r="E358" i="1"/>
  <c r="E356" i="1"/>
  <c r="F355" i="1"/>
  <c r="G355" i="1"/>
  <c r="H355" i="1"/>
  <c r="M355" i="1"/>
  <c r="N355" i="1"/>
  <c r="M391" i="1" l="1"/>
  <c r="M386" i="1" s="1"/>
  <c r="N391" i="1"/>
  <c r="N386" i="1" s="1"/>
  <c r="G386" i="1"/>
  <c r="E391" i="1" l="1"/>
  <c r="H386" i="1"/>
  <c r="G302" i="1" l="1"/>
  <c r="H302" i="1"/>
  <c r="M302" i="1"/>
  <c r="N302" i="1"/>
  <c r="F302" i="1"/>
  <c r="G73" i="1"/>
  <c r="G113" i="1" s="1"/>
  <c r="H73" i="1"/>
  <c r="H113" i="1" s="1"/>
  <c r="M73" i="1"/>
  <c r="M113" i="1" s="1"/>
  <c r="N73" i="1"/>
  <c r="F73" i="1"/>
  <c r="F113" i="1" s="1"/>
  <c r="G74" i="1"/>
  <c r="G114" i="1" s="1"/>
  <c r="H74" i="1"/>
  <c r="H114" i="1" s="1"/>
  <c r="M74" i="1"/>
  <c r="M114" i="1" s="1"/>
  <c r="N74" i="1"/>
  <c r="F74" i="1"/>
  <c r="F114" i="1" s="1"/>
  <c r="N49" i="1"/>
  <c r="E49" i="1" s="1"/>
  <c r="N113" i="1" l="1"/>
  <c r="E113" i="1" s="1"/>
  <c r="H72" i="1"/>
  <c r="G72" i="1"/>
  <c r="M72" i="1"/>
  <c r="N72" i="1"/>
  <c r="M348" i="1" l="1"/>
  <c r="M371" i="1" s="1"/>
  <c r="N348" i="1"/>
  <c r="N371" i="1" s="1"/>
  <c r="H348" i="1"/>
  <c r="H371" i="1" s="1"/>
  <c r="E351" i="1"/>
  <c r="E355" i="1"/>
  <c r="M82" i="1" l="1"/>
  <c r="H51" i="1" l="1"/>
  <c r="E246" i="1" l="1"/>
  <c r="N114" i="1" l="1"/>
  <c r="N47" i="1" l="1"/>
  <c r="E47" i="1"/>
  <c r="E250" i="1"/>
  <c r="H82" i="1" l="1"/>
  <c r="F13" i="1"/>
  <c r="F43" i="1" s="1"/>
  <c r="F12" i="1" l="1"/>
  <c r="E45" i="1"/>
  <c r="G279" i="1" l="1"/>
  <c r="G375" i="1" l="1"/>
  <c r="N375" i="1" l="1"/>
  <c r="M375" i="1"/>
  <c r="F375" i="1"/>
  <c r="E389" i="1" l="1"/>
  <c r="M347" i="1" l="1"/>
  <c r="N387" i="1" l="1"/>
  <c r="M387" i="1"/>
  <c r="H387" i="1"/>
  <c r="G387" i="1"/>
  <c r="N400" i="1"/>
  <c r="M400" i="1"/>
  <c r="H400" i="1"/>
  <c r="G400" i="1"/>
  <c r="N399" i="1"/>
  <c r="N479" i="1" s="1"/>
  <c r="H399" i="1"/>
  <c r="G399" i="1"/>
  <c r="E375" i="1"/>
  <c r="N382" i="1"/>
  <c r="N381" i="1" s="1"/>
  <c r="M382" i="1"/>
  <c r="H382" i="1"/>
  <c r="H381" i="1" s="1"/>
  <c r="G382" i="1"/>
  <c r="G381" i="1" s="1"/>
  <c r="F382" i="1"/>
  <c r="F381" i="1" s="1"/>
  <c r="N372" i="1"/>
  <c r="M372" i="1"/>
  <c r="H372" i="1"/>
  <c r="G372" i="1"/>
  <c r="F372" i="1"/>
  <c r="E364" i="1"/>
  <c r="E363" i="1" s="1"/>
  <c r="G363" i="1"/>
  <c r="E350" i="1"/>
  <c r="N347" i="1"/>
  <c r="H347" i="1"/>
  <c r="G348" i="1"/>
  <c r="G371" i="1" s="1"/>
  <c r="F371" i="1"/>
  <c r="E303" i="1"/>
  <c r="H301" i="1"/>
  <c r="G301" i="1"/>
  <c r="F301" i="1"/>
  <c r="N301" i="1"/>
  <c r="M301" i="1"/>
  <c r="F279" i="1"/>
  <c r="N115" i="1"/>
  <c r="N111" i="1" s="1"/>
  <c r="M115" i="1"/>
  <c r="M111" i="1" s="1"/>
  <c r="H115" i="1"/>
  <c r="H111" i="1" s="1"/>
  <c r="G115" i="1"/>
  <c r="G111" i="1" s="1"/>
  <c r="F115" i="1"/>
  <c r="N82" i="1"/>
  <c r="F111" i="1" l="1"/>
  <c r="G480" i="1"/>
  <c r="M399" i="1"/>
  <c r="M398" i="1" s="1"/>
  <c r="M384" i="1"/>
  <c r="E374" i="1"/>
  <c r="F387" i="1"/>
  <c r="E387" i="1" s="1"/>
  <c r="H369" i="1"/>
  <c r="F347" i="1"/>
  <c r="H374" i="1"/>
  <c r="N369" i="1"/>
  <c r="M381" i="1"/>
  <c r="G347" i="1"/>
  <c r="G384" i="1"/>
  <c r="N384" i="1"/>
  <c r="G374" i="1"/>
  <c r="E15" i="1"/>
  <c r="G82" i="1"/>
  <c r="E115" i="1"/>
  <c r="F481" i="1"/>
  <c r="N481" i="1"/>
  <c r="G369" i="1"/>
  <c r="E74" i="1"/>
  <c r="F72" i="1"/>
  <c r="M481" i="1"/>
  <c r="E302" i="1"/>
  <c r="E301" i="1" s="1"/>
  <c r="F374" i="1"/>
  <c r="N374" i="1"/>
  <c r="E372" i="1"/>
  <c r="E370" i="1" s="1"/>
  <c r="H481" i="1"/>
  <c r="F369" i="1"/>
  <c r="M369" i="1"/>
  <c r="M374" i="1"/>
  <c r="H384" i="1"/>
  <c r="G398" i="1"/>
  <c r="E388" i="1"/>
  <c r="H398" i="1"/>
  <c r="G13" i="1"/>
  <c r="G43" i="1" s="1"/>
  <c r="E73" i="1"/>
  <c r="E371" i="1"/>
  <c r="N398" i="1"/>
  <c r="E13" i="1" l="1"/>
  <c r="G12" i="1"/>
  <c r="E12" i="1" s="1"/>
  <c r="G479" i="1"/>
  <c r="H479" i="1"/>
  <c r="H480" i="1"/>
  <c r="M480" i="1"/>
  <c r="N480" i="1"/>
  <c r="M479" i="1"/>
  <c r="F399" i="1"/>
  <c r="E385" i="1"/>
  <c r="E399" i="1" s="1"/>
  <c r="N279" i="1"/>
  <c r="H41" i="1"/>
  <c r="M41" i="1"/>
  <c r="E43" i="1"/>
  <c r="E478" i="1"/>
  <c r="E382" i="1"/>
  <c r="E381" i="1" s="1"/>
  <c r="E347" i="1"/>
  <c r="E369" i="1"/>
  <c r="E72" i="1"/>
  <c r="F82" i="1"/>
  <c r="E82" i="1" s="1"/>
  <c r="H477" i="1" l="1"/>
  <c r="M477" i="1"/>
  <c r="F479" i="1"/>
  <c r="E479" i="1" s="1"/>
  <c r="G41" i="1"/>
  <c r="E42" i="1"/>
  <c r="E282" i="1"/>
  <c r="M279" i="1"/>
  <c r="E281" i="1"/>
  <c r="G481" i="1"/>
  <c r="E481" i="1" s="1"/>
  <c r="E283" i="1"/>
  <c r="E114" i="1"/>
  <c r="E111" i="1" s="1"/>
  <c r="N477" i="1" l="1"/>
  <c r="E44" i="1"/>
  <c r="E41" i="1" s="1"/>
  <c r="F41" i="1"/>
  <c r="E279" i="1"/>
  <c r="G477" i="1"/>
  <c r="E392" i="1"/>
  <c r="F386" i="1" l="1"/>
  <c r="F400" i="1" s="1"/>
  <c r="F398" i="1" s="1"/>
  <c r="F384" i="1" l="1"/>
  <c r="E386" i="1"/>
  <c r="E400" i="1" s="1"/>
  <c r="E398" i="1" s="1"/>
  <c r="F480" i="1"/>
  <c r="F477" i="1" l="1"/>
  <c r="E384" i="1"/>
  <c r="E480" i="1"/>
  <c r="E477" i="1" s="1"/>
</calcChain>
</file>

<file path=xl/sharedStrings.xml><?xml version="1.0" encoding="utf-8"?>
<sst xmlns="http://schemas.openxmlformats.org/spreadsheetml/2006/main" count="2544" uniqueCount="612">
  <si>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</si>
  <si>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</si>
  <si>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</si>
  <si>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</si>
  <si>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</si>
  <si>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</si>
  <si>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</si>
  <si>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</si>
  <si>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</si>
  <si>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</si>
  <si>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</si>
  <si>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</si>
  <si>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</si>
  <si>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</si>
  <si>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</si>
  <si>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</si>
  <si>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</si>
  <si>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</si>
  <si>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</si>
  <si>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</si>
  <si>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</si>
  <si>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1.2.1.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</si>
  <si>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</si>
  <si>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</si>
  <si>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</si>
  <si>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</si>
  <si>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</si>
  <si>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</si>
  <si>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</si>
  <si>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</si>
  <si>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</si>
  <si>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4.</t>
  </si>
  <si>
    <t>4.1.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</si>
  <si>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</si>
  <si>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</si>
  <si>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</si>
  <si>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</si>
  <si>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</si>
  <si>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</si>
  <si>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</si>
  <si>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</si>
  <si>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03.01. Проведение первоочередных мероприятий по восстановлению объектов социальной и инженерной инфраструктуры военных городков на территории Московской области, переданных из федеральной собственности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</si>
  <si>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</si>
  <si>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</si>
  <si>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</si>
  <si>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</si>
  <si>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</si>
  <si>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</si>
  <si>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</si>
  <si>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</si>
  <si>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</si>
  <si>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</si>
  <si>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</si>
  <si>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</si>
  <si>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</si>
  <si>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</si>
  <si>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</si>
  <si>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</si>
  <si>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</si>
  <si>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</si>
  <si>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</si>
  <si>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</si>
  <si>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</si>
  <si>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</si>
  <si>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</si>
  <si>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</si>
  <si>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</si>
  <si>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</si>
  <si>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 xml:space="preserve">"Развитие инженерной инфраструктуры, энергоэффективности и отрасли обращения с отходами" 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</si>
  <si>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</si>
  <si>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</si>
  <si>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Количество построенных и реконструированных (модернизированных) объектов питьевого водоснабжения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</si>
  <si>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</si>
  <si>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</si>
  <si>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03. Реализация проектов по строительству, реконструкции, модернизации объектов  очистки сточных вод с использованием финансовых инструментов «Инфраструктурного меню»</t>
  </si>
  <si>
    <t>Министерство жилищно-коммунального хозяйства Московской области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</si>
  <si>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</si>
  <si>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</si>
  <si>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</si>
  <si>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2.3.</t>
  </si>
  <si>
    <t>Основное мероприятие 03. Создание производственных мощностей в отрасли обращения с отходами</t>
  </si>
  <si>
    <t xml:space="preserve">Мероприятие 03.01 - 
Строительство и реконструкция объектов инженерной инфраструктуры для комплексов по переработке и размещению отходов (КПО) на территории муниципальных образований Московской области
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</si>
  <si>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</si>
  <si>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</si>
  <si>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</si>
  <si>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Мероприятие 01.03. Организация в границах городского округа электро-, тепло-, газо- и водоснабжения населения, водоотведения, снабжения населения топливом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</si>
  <si>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</si>
  <si>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Основное мероприятие 02 - Финансовое обеспечение расходов, направленных на осуществление полномочий в сфере жилищно-коммунального хозяйства</t>
  </si>
  <si>
    <t xml:space="preserve">Мероприятие 02.05 -
Осуществление переданных органам местного самоуправления полномочий по региональному государственному жилищному контролю (надзору) за соблюдением гражданами требований Правил пользования газом
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</si>
  <si>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</si>
  <si>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Мероприятие 01.02. Выполнение отдельных мероприятий муниципальных программ</t>
  </si>
  <si>
    <t>Основное мероприятие 01. Строительство и содержание газопроводов в населенных пунктах</t>
  </si>
  <si>
    <t>2.4.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</si>
  <si>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</si>
  <si>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Субсидии на возмещение затрат по установке автоматизированных систем контроля за газовой безопасностью в жилых помещениях (квартирах) многоквартирных домов</t>
  </si>
  <si>
    <t>Управление жилищно-коммунального хозяйства, Управляющие компании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</si>
  <si>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</si>
  <si>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</si>
  <si>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Субсидия АО "Одинцовская теплосеть" в качестве вклада в имущество общества, не увеличивающего его уставный капитал, в целях возмещения планируемых недополученных доходов в связи с производством и оказанием коммунальных услуг в 2022-2023 годах и уменьшения планового непокрытого убытка, в том числе для расчетов за поставленные энергоносители</t>
  </si>
  <si>
    <t>Мероприятие 02.05. Строительство и реконструкция (модернизация) объектов питьевого водоснабжения за счет средств местного бюджета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</si>
  <si>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</si>
  <si>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</si>
  <si>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</si>
  <si>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</si>
  <si>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</si>
  <si>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2026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</si>
  <si>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</si>
  <si>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</si>
  <si>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</si>
  <si>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</si>
  <si>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</si>
  <si>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</si>
  <si>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</si>
  <si>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</si>
  <si>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</si>
  <si>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</si>
  <si>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</si>
  <si>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</si>
  <si>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</si>
  <si>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Погашение просроченной задолженности перед поставщиком электроэнергии, с целью повышения эффективности работы предприятий, оказывающих услуги в сфере жилищно-коммунального хозяйства, в размере не менее суммы предоставленной субсидии, тыс. руб.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</si>
  <si>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</si>
  <si>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</si>
  <si>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</si>
  <si>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Кредиторская задолженность за 2022 год по строительству блочно-модульных очистных сооружений с. Каринское Одинцовский г.о. (в т.ч. ПИР)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</si>
  <si>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</si>
  <si>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</si>
  <si>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</si>
  <si>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</si>
  <si>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6 "Развитие газификации, топливнозаправочного 
комплекса и электроэнергетики"</t>
  </si>
  <si>
    <t>Подпрограмма 7 "Обеспечивающая подпрограмма"</t>
  </si>
  <si>
    <t>Подпрограмма 8 «Реализация полномочий в сфере жилищно-коммунального хозяйства»</t>
  </si>
  <si>
    <t>Подпрограмма 1 "Чистая вода"</t>
  </si>
  <si>
    <t>Подпрограмма 2 "Системы водоотведения"</t>
  </si>
  <si>
    <t>Подпрограмма 3 «Объекты теплоснабжения, инженерные коммуникации»</t>
  </si>
  <si>
    <t>Подпрограмма 4 "Обращение с отходами"</t>
  </si>
  <si>
    <t>Подпрограмма  5 "Энергосбережение и повышение энергетической эффективности"</t>
  </si>
  <si>
    <t>Погашение просроченной задолженности перед поставщиком электроэнергии, с целью повышения эффективности работы предприятий, оказывающих услуги в сфере жилищно-коммунального хозяйства, в размере не менее суммы предоставленной субсидии, тыс.руб.</t>
  </si>
  <si>
    <t>Реконструкция ВЗУ д. Дунино Одинцовский городской округ</t>
  </si>
  <si>
    <t>Капитальный ремонт сетей водоотведения от КНС 3 до КНС 12, п. Горки 10 (в т.ч. ПИР)</t>
  </si>
  <si>
    <t>Капитальный ремонт сетей водоснабжения по ул. Московская д. Немчиновка (в т.ч. ПИР)</t>
  </si>
  <si>
    <t>Капитальный ремонт сетей водоснабжения п. Лесной городок (в т.ч. ПИР)</t>
  </si>
  <si>
    <t>Капитальный ремонт сетей водоснабжения  п. Гарь-Покровское (в т.ч. ПИР)</t>
  </si>
  <si>
    <t>Капитальный ремонт сетей водоотведения п. Гарь-Покровское (в т.ч. ПИР)</t>
  </si>
  <si>
    <t>Капитальный ремонт сетей водоснабжения  п. Жуковка (в т.ч. ПИР)</t>
  </si>
  <si>
    <t>Капитальный ремонт сетей водоснабжения п. Покровский городок (в т.ч. ПИР)</t>
  </si>
  <si>
    <t>Капитальный ремонт сетей водоотведения п. Покровский городок (в т.ч. ПИР)</t>
  </si>
  <si>
    <t xml:space="preserve">Капитальный ремонт сети теплоснабжения  р.п. Большие Вяземы, ул. Городок 17: ТК-2 -ВШ №3; ТК-1 ж.д.21  (в т.ч. ПИР) </t>
  </si>
  <si>
    <t xml:space="preserve">Капитальный ремонт сети теплоснабжения г. Одинцово, ул. Ново-Спортивная (в т.ч. ПИР) </t>
  </si>
  <si>
    <t xml:space="preserve">Капитальный ремонт сети теплоснабжения  г. Одинцово, б-р М. Крылова (в т.ч. ПИР) </t>
  </si>
  <si>
    <t xml:space="preserve">Капитальный ремонт сети теплоснабжения  п. Кубинка-1,  в/г 5/1 (в т.ч. ПИР) </t>
  </si>
  <si>
    <t xml:space="preserve">Капитальный ремонт сети теплоснабжения  г. Одинцово, Микрорайон № 3: ЦТП № 5/6, ул. Жукова д.47 и ул. Жукова д.37; ул. Жукова д.47  - ТК-10,  (в т.ч. ПИР) </t>
  </si>
  <si>
    <t>Капитальный ремонт  тепловой сети Микрорайон № 4; г. Одинцово;  ТК-3  - ТК-4; ТК-4  - ТК-7 (в т.ч. ПИР)</t>
  </si>
  <si>
    <t xml:space="preserve">Реконструкция системы теплоснабжения в районе ЦТП №7  г. Одинцово, мкр.  № 8  (в т.ч. ПИР) </t>
  </si>
  <si>
    <t xml:space="preserve">Реконструкция системы теплоснабжения в районе ЦТП п. Жуковка-1  (в т.ч. ПИР) </t>
  </si>
  <si>
    <t xml:space="preserve">Капитальный ремонт сетей теплоснабжения п. Гарь- Покровское (в т.ч. ПИР) </t>
  </si>
  <si>
    <t xml:space="preserve">Реконструкция тепловых сетей и сетей  ГВС п. Покровский городок (в т.ч. ПИР) </t>
  </si>
  <si>
    <t>".</t>
  </si>
  <si>
    <t>Итого по мероприятияю: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</si>
  <si>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"Развитие инженерной инфраструктуры, энергоэффективности и отрасли обращения с отходами" </t>
  </si>
  <si>
    <t>"Приложение 6 к муниципальной программе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</si>
  <si>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</si>
  <si>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</si>
  <si>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к муниципальной программе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</si>
  <si>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"Развитие инженерной инфраструктуры, энергоэффективности и отрасли обращения с отходами"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</si>
  <si>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</si>
  <si>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</si>
  <si>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</si>
  <si>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</si>
  <si>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</si>
  <si>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</si>
  <si>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</si>
  <si>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</si>
  <si>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Профинансировано на 01.01.2023, тыс.руб.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</si>
  <si>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</si>
  <si>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</si>
  <si>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</si>
  <si>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</si>
  <si>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</si>
  <si>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</si>
  <si>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</si>
  <si>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</si>
  <si>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</si>
  <si>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</si>
  <si>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</si>
  <si>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</si>
  <si>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</si>
  <si>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>Строительство и реконструкция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</si>
  <si>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</si>
  <si>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</si>
  <si>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</si>
  <si>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</si>
  <si>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</si>
  <si>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</si>
  <si>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</si>
  <si>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</si>
  <si>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20.01.2022-30.11.2024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</si>
  <si>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</si>
  <si>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</si>
  <si>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</si>
  <si>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</si>
  <si>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</si>
  <si>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</si>
  <si>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</si>
  <si>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</si>
  <si>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</si>
  <si>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</si>
  <si>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насосной станции 2-ого подъема, расположенной по адресу: Одинцовский г.о., п. ВНИИССОК, ул. Дружбы, строение 1/1 (ПИР)</t>
  </si>
  <si>
    <t>1,4 тыс.куб.м/сутки</t>
  </si>
  <si>
    <t>Московская область, Одинцовский г.о., п. ВНИИССОК, ул. Дружбы, строение 1/1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</si>
  <si>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</si>
  <si>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</si>
  <si>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</si>
  <si>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</si>
  <si>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</si>
  <si>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</si>
  <si>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</si>
  <si>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</si>
  <si>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13 Гкал/час</t>
  </si>
  <si>
    <t xml:space="preserve">Московская область, Одинцовский г.о.,п. д/х "Жуковка",  Жуковка-1 </t>
  </si>
  <si>
    <t>Московская область, Одинцовский г.о., п. д/х "Жуковка", Жуковка-2</t>
  </si>
  <si>
    <t>1,5 Гкал/ч</t>
  </si>
  <si>
    <t>Московская область, Одинцовский г.о.,п. д/х "Жуковка",  Жуковка-2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</si>
  <si>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</si>
  <si>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</si>
  <si>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</si>
  <si>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</si>
  <si>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</si>
  <si>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</si>
  <si>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</si>
  <si>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</si>
  <si>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</si>
  <si>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</si>
  <si>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</si>
  <si>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</si>
  <si>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</si>
  <si>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</si>
  <si>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1500 п.м.</t>
  </si>
  <si>
    <t>Московская область,в районе с. Успенское</t>
  </si>
  <si>
    <t>1400 п.м., 
2100 п.м.</t>
  </si>
  <si>
    <t xml:space="preserve">Московская область, д.п. Лесной городок </t>
  </si>
  <si>
    <t>Итого по мероприятию 02.01.</t>
  </si>
  <si>
    <t>Итого по мероприятию 02.05.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</si>
  <si>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</si>
  <si>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</si>
  <si>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</si>
  <si>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</si>
  <si>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0,42 км.</t>
  </si>
  <si>
    <t>Московская область, г. Одинцово.</t>
  </si>
  <si>
    <t>0,20 км.</t>
  </si>
  <si>
    <t>Московская область, Одинцовский г.о.,п. Жуковка-1</t>
  </si>
  <si>
    <t>01.05.2023-31.12.2024</t>
  </si>
  <si>
    <t xml:space="preserve">Присоединение энергопринимающих устройств к электрическим сетям канализационной насосной станции на земельном участке, расположенном по адресу: Московская область, Одинцовский городской округ, д. Раздоры, ул. Круговая </t>
  </si>
  <si>
    <t>"Приложение 5</t>
  </si>
  <si>
    <t>"Приложение 1 к муниципальной программе</t>
  </si>
  <si>
    <t>Комплекс работ по выполнению проектно-изыскательских и строительно-монтажных работ в рамках мероприятия по технологическому присоединению к электрическим сетям 10 кВ, включая КРУН и трансформаторную подстанцию ТП пр. для дальнейшего содержания и эксплуатации полигона твердых коммунальных отходов «Часцы»</t>
  </si>
  <si>
    <t>Комплекс работ по организация централизованного водоснабжения и водоотведения д. Палицы и д. Грязь Одинцовского городского округа</t>
  </si>
  <si>
    <t>Московская область,д. Палицы и д. Грязь</t>
  </si>
  <si>
    <t>10 кВ</t>
  </si>
  <si>
    <t xml:space="preserve">Московская область, п. Часцы </t>
  </si>
  <si>
    <t>13.08.2022-31.12.2023</t>
  </si>
  <si>
    <t>Московская область, д. Раздоры</t>
  </si>
  <si>
    <t>02.12.2022-31.12.2023</t>
  </si>
  <si>
    <t>0,07 км.</t>
  </si>
  <si>
    <t>Управление жилищно-коммунального хозяйства (приложение 5 
к муниципальной программе)</t>
  </si>
  <si>
    <t>Управление жилищно-коммунального хозяйства, Территориальные управления Одинцовского городского округа 
(приложение 5 
к муниципальной программе)</t>
  </si>
  <si>
    <t>Управление жилищно-коммунального хозяйства
(приложение 5
к муниципальной программе)</t>
  </si>
  <si>
    <t>Управление жилищно-коммунального хозяйства (приложение 5
к муниципальной программе)</t>
  </si>
  <si>
    <t>Управление жилищно-коммунального хозяйства, Управление благоустройства (приложение 5
к муниципальной программе)</t>
  </si>
  <si>
    <t>Управление жилищно-коммунального хозяйства 
(приложение 6 
к муниципальной программе)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</si>
  <si>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городских округов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</si>
  <si>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</si>
  <si>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Капитальный ремонт тепловой 
сети, расположенной по адресу: 
Московская область, Одинцовский г.о., п. д/х "Жуковка", Жуковка-2 (в т.ч. 
ПИР)</t>
  </si>
  <si>
    <t>Реконструкция ЦТП, расположенного по адресу: Московская область, Одинцовский г.о., п. д/х "Жуковка", Жуковка-1 (в т.ч. ПИР)</t>
  </si>
  <si>
    <t>5 Гкал/час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</si>
  <si>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</si>
  <si>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</si>
  <si>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</si>
  <si>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</si>
  <si>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</si>
  <si>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</si>
  <si>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</si>
  <si>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</si>
  <si>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</si>
  <si>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</si>
  <si>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</si>
  <si>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</si>
  <si>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20.01.2022-29.11.2025</t>
  </si>
  <si>
    <t>20.01.2024-29.11.2026</t>
  </si>
  <si>
    <t>Субсидия МУП ЖКХ «Назарьево» в качестве вклада в имущество общества, не увеличивающего его уставный капитал, в целях возмещения недополученных доходов в связи с производством и оказанием услуг</t>
  </si>
  <si>
    <t xml:space="preserve">Субсидия МП «Звенигородские инженерные сети» в качестве вклада в имущество общества, не увеличивающего его уставный капитал, в целях возмещения недополученных доходов в связи с производством и оказанием услуг </t>
  </si>
  <si>
    <t>1.2.2.</t>
  </si>
  <si>
    <t>1.2.3.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</si>
  <si>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</si>
  <si>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</si>
  <si>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</si>
  <si>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</si>
  <si>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</si>
  <si>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</si>
  <si>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</si>
  <si>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Приобретено и введено в эксплуатацию, капитально отремонтировано объекты очистки сточных вод, ед.</t>
  </si>
  <si>
    <t>Количество завершенных объектов капитального строительства инфраструктуры, ед.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</si>
  <si>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</si>
  <si>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</si>
  <si>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</si>
  <si>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>Приобретено и введено в эксплуатацию, капитально отремонтированы канализационные коллектора и канализационные насосные станции, ед.</t>
  </si>
  <si>
    <t>Мероприятие 03.05 –  Финансовое обеспечение затрат муниципальных образований Московской области, связанных с возвратом займов, выданных Фондом развития территорий</t>
  </si>
  <si>
    <t>Проекты муниципальной собственности, по которым произведено погашение займа в соответствии с графиком погашения в сфере водоотведения, ед.</t>
  </si>
  <si>
    <t>ИТОГО по подпрограмме 1 "Чистая вода"</t>
  </si>
  <si>
    <t xml:space="preserve">ИТОГО </t>
  </si>
  <si>
    <t>ИТОГО по подпрограмме 2 "Системы водоотведения"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</si>
  <si>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</si>
  <si>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</si>
  <si>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Основное мероприятие 02 – Строительство, реконструкция, капитальный ремонт сетей водоснабжения, водоотведения, теплоснабжения на территории муниципальных образований Московской области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</si>
  <si>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</si>
  <si>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Капитально отремонтированы объекты коммунальной инфраструктуры на территории военных городков,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</si>
  <si>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</si>
  <si>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</si>
  <si>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</si>
  <si>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>Введены в эксплуатацию объекты инженерной инфраструктуры для комплексов по переработке и размещению отходов (КПО), ед.</t>
  </si>
  <si>
    <t>ИТОГО по подпрограмме 4 "Обращение с отходами"</t>
  </si>
  <si>
    <t>ИТОГО по подпрограмме 7 "Обеспечивающая подпрограмма"</t>
  </si>
  <si>
    <t>ИТОГО по подпрограмме 8 "Реализация полномочий в сфере жилищно-коммунального хозяйства"</t>
  </si>
  <si>
    <t>Осуществлено профилактических и контрольных (надзорных) мероприятий при поступлении в ОМСУ информации о несоблюдении гражданами требований Правил пользования газом, %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</si>
  <si>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</si>
  <si>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</si>
  <si>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ИТОГО по подпрограмме 5 "Энергосбережение и повышение энергетической эффективности"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</si>
  <si>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</si>
  <si>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</si>
  <si>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</si>
  <si>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</si>
  <si>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</si>
  <si>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</si>
  <si>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</si>
  <si>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</si>
  <si>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</si>
  <si>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</si>
  <si>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</si>
  <si>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</si>
  <si>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>Мероприятие 02.02. Выполнение работ по установке автоматизированных систем контроля за газовой безопасностью в жилых помещениях (квартирах) многоквартирных домов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</si>
  <si>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</si>
  <si>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</si>
  <si>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Управление жилищно-коммунального хозяйства 
(приложение 5
к муниципальной программе)</t>
  </si>
  <si>
    <t>Капитальный ремонт сети теплоснабжения г. Одинцово, Можайское шоссе (в т.ч. ПИР)</t>
  </si>
  <si>
    <t>Капитальный ремонт сети теплоснабжения пос. Шарапово, ТК-5 - ж.д. 23 (в т.ч. ПИР)</t>
  </si>
  <si>
    <t>Капитальный ремонт сети теплоснабжения г. Одинцово,мкр. № 7: т.вр. 3 - ТК-4а; т.вр. 3 - ТК-4. (в т.ч. ПИР)</t>
  </si>
  <si>
    <t xml:space="preserve">Капитальный ремонт сети теплоснабжения г. Одинцово, микрорайон № 1 (в т.ч. ПИР) </t>
  </si>
  <si>
    <t>Капитальный ремонт сети теплоснабжения г. Одинцово, мкр. № 8: Союзная 32 а - ЦТП № 3; ТК-4 - ЦТП № 4. (в т.ч. ПИР)</t>
  </si>
  <si>
    <t>Капитальный ремонт сети теплоснабжения г. Одинцово, Микрорайон № 4; ТК-4 - ТК-6; ЦТП № 9 - ЦТП № 4 (ППУ из.) (в т.ч. ПИР)</t>
  </si>
  <si>
    <t>5.1.</t>
  </si>
  <si>
    <t>5.2.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</si>
  <si>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</si>
  <si>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</si>
  <si>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</si>
  <si>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</si>
  <si>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</si>
  <si>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</si>
  <si>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</si>
  <si>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</si>
  <si>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</si>
  <si>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</si>
  <si>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Субсидия МУП ЖКХ «Назарьево» в качестве вклада в имущество общества, не увеличивающего его уставный капитал, в целях уменьшения непокрытого убытка предприятия на 31.12.2023</t>
  </si>
  <si>
    <t>Субсидия АО "Одинцовская теплосеть" в качестве вклада в имущество общества, не увеличивающего его уставный капитал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</si>
  <si>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</si>
  <si>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</si>
  <si>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Строительство БМК на 1,5 МВт по адресу: Московская область, Одинцовский г.о., Санаторий "Поречье" (в т.ч. ПИР)</t>
  </si>
  <si>
    <t>Итого по мероприятию 01.06.</t>
  </si>
  <si>
    <t>Московская область, Одинцовский г.о. г. Звенигород, п. Поречье</t>
  </si>
  <si>
    <t xml:space="preserve"> 1,5 МВт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</si>
  <si>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</si>
  <si>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</si>
  <si>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</si>
  <si>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</si>
  <si>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</si>
  <si>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 Московская область, Одинцовский г.о., г. Звенигород, ул. Нахабинское шоссе д.2 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</si>
  <si>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</si>
  <si>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</si>
  <si>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</si>
  <si>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</si>
  <si>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</si>
  <si>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</si>
  <si>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</si>
  <si>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Московская область, Одинцовский г.о., п. Городок-17</t>
  </si>
  <si>
    <t>Московская область, Одинцовский г.о., д. Новошихово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</si>
  <si>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</si>
  <si>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</si>
  <si>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Строительство БМК на 3 МВт по адресу: Московская область, Одинцовский г.о., п. ПМС-4 (в т.ч. ПИР)</t>
  </si>
  <si>
    <t>3 МВт</t>
  </si>
  <si>
    <t>Московская область, Одинцовский г.о., п. ПМС-4</t>
  </si>
  <si>
    <t>Реконструкция участков тепловых сетей по адресу: Московская область, Одинцовский г.о., п. ПМС-4 (в т.ч. ПИР)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</si>
  <si>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</si>
  <si>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</si>
  <si>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</si>
  <si>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</si>
  <si>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5 МВт</t>
  </si>
  <si>
    <t>3,5 МВт</t>
  </si>
  <si>
    <t>Реконструкция участков тепловых сетей по адресу: Московская область, Одинцовский г.о., пос. Старый Городок (в т.ч. ПИР)</t>
  </si>
  <si>
    <t>22.08.2022-30.04.2024</t>
  </si>
  <si>
    <t>Строительство БМК на 5 МВт по адресу: Московская область, Одинцовский г.о., дер. Хлюпино (в т.ч. ПИР)</t>
  </si>
  <si>
    <t xml:space="preserve"> Московская область, Одинцовский г.о., г. дер. Хлюпино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</si>
  <si>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</si>
  <si>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</si>
  <si>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</si>
  <si>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</si>
  <si>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</si>
  <si>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Управление жилищно-коммунального хозяйства (приложение 6
к муниципальной программе)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</si>
  <si>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</si>
  <si>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</si>
  <si>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Мероприятие 02.11. – Капитальный ремонт сетей теплоснабжения на территории муниципальных образований Московской области</t>
  </si>
  <si>
    <t>2.8.</t>
  </si>
  <si>
    <t>Управление жилищно-коммунального хозяйства 
(приложение 6
к муниципальной программе)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</si>
  <si>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</si>
  <si>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</si>
  <si>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</si>
  <si>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</si>
  <si>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</si>
  <si>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3100 м</t>
  </si>
  <si>
    <t>3200 м</t>
  </si>
  <si>
    <t xml:space="preserve"> Московская область, Одинцовский г.о., п. ПМС-4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</si>
  <si>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</si>
  <si>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</si>
  <si>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Капитальный ремонт котельной ИФА РАН им. Обухова (в части замены котла) по адресу: Московская область, Одинцовский г.о., п. Новошихово (в т.ч. ПИР)</t>
  </si>
  <si>
    <t>Количество построенных и реконструированных (модернизированных, технически перевооруженных) сетей теплоснабжения, ед.</t>
  </si>
  <si>
    <t>Капитальный ремонт сетей теплоснабжения в районе пос. Летний Отдых, ул. Зеленая, 3а (в т.ч. ПИР)</t>
  </si>
  <si>
    <t>Итого по мероприятию 02.10.</t>
  </si>
  <si>
    <t>Реконструкция ЦТП по адресу: Московская область, Одинцовский г.о., г. Кубинка, Кубинка-10, в/г 10 (в т.ч. ПИР)</t>
  </si>
  <si>
    <t>Реконструкция котельной по адресу: Московская область, Одинцовский г.о., п. Кубинка-10 в/г 10 (в т.ч. ПИР)</t>
  </si>
  <si>
    <t>10 МВт</t>
  </si>
  <si>
    <t>5,8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</si>
  <si>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</si>
  <si>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</si>
  <si>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</si>
  <si>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>Субсидия МУП ЖКХ «Назарьево» в качестве вклада в имущество общества, не увеличивающего его уставный капитал, в целях уменьшения непокрытого убытка предприятия на 30.06.2024</t>
  </si>
  <si>
    <t>АО "Одинцовская теплосеть":</t>
  </si>
  <si>
    <t>МУП ЖКХ «Назарьево»:</t>
  </si>
  <si>
    <t>МП «Звенигородские инженерные сети»:</t>
  </si>
  <si>
    <t xml:space="preserve"> L=1012,5 м. </t>
  </si>
  <si>
    <t xml:space="preserve"> L=2068 м. </t>
  </si>
  <si>
    <t xml:space="preserve"> L=343,5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</si>
  <si>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</si>
  <si>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</si>
  <si>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</si>
  <si>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L=611 м. </t>
  </si>
  <si>
    <t xml:space="preserve"> L=1321 м. </t>
  </si>
  <si>
    <t xml:space="preserve"> L=360 м. </t>
  </si>
  <si>
    <t xml:space="preserve"> L=3356,7 м. </t>
  </si>
  <si>
    <t>08.07.2024-14.10.2025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</si>
  <si>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</si>
  <si>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</si>
  <si>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Реконструкция участков тепловых сетей по адресу: Московская область, Одинцовский г.о., п. Новошихово(в т.ч. ПИР)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</si>
  <si>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</si>
  <si>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2.9.</t>
  </si>
  <si>
    <t>Количество капитально отремонтированных сетей теплоснабжения, ед.</t>
  </si>
  <si>
    <t>Актуализация проектной документации по мероприятию "Строительство сетей водоснабжения и водоотведения в д. Подушкино Одинцовского г.о."</t>
  </si>
  <si>
    <t>Проектные работы</t>
  </si>
  <si>
    <t>01.10.2024-31.12.2025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</si>
  <si>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</si>
  <si>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</si>
  <si>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</si>
  <si>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</si>
  <si>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</si>
  <si>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</si>
  <si>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Приобретение, монтаж и ввод в эксплуатацию водоочистки  в Ликино</t>
  </si>
  <si>
    <t>Московская область, Одинцовский г.о., д. Аксиньино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</si>
  <si>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</si>
  <si>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</si>
  <si>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</si>
  <si>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</si>
  <si>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</si>
  <si>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</si>
  <si>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</si>
  <si>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</si>
  <si>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</si>
  <si>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</si>
  <si>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</si>
  <si>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</si>
  <si>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 xml:space="preserve">Реконструкция ВЗУ В.Ромашково Одинцовский г.о. 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</si>
  <si>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</si>
  <si>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</si>
  <si>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</si>
  <si>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</si>
  <si>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</si>
  <si>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Мероприятие 1.19. Приобретение специализированной техники для аварийных бригад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</si>
  <si>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</si>
  <si>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</si>
  <si>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</si>
  <si>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</si>
  <si>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01.01.2026-29.11.2027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</si>
  <si>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</si>
  <si>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</si>
  <si>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</si>
  <si>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</si>
  <si>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</si>
  <si>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>Субсидия АО «Одинцовская Теплосеть» в целях возмещения расходов на разработку проектной, рабочей и сметной документации по объекту «Строительство водопроводной сети
с реконструкцией водозаборного узла «Верхнее Ромашково» по адресу:
Одинцовский г.о., с. Ромашково»</t>
  </si>
  <si>
    <t xml:space="preserve">Субсидии МУП «ЖКХ Назарьево» в
целях возмещения расходов на строительно-монтажные работы по
проектированию и строительству тепловой сети в рамках технологического
присоединения объекта коммунальной инфраструктуры Школа «Горки-2» </t>
  </si>
  <si>
    <t>Субсидии МП «Звенигородские
инженерные сети» в целях возмещения недополученных доходов, связанных с
невозможностью взыскания задолженности за поставленные коммунальные
услуги, для погашения просроченной задолженности за потребленный газ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</si>
  <si>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</si>
  <si>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</si>
  <si>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</si>
  <si>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</si>
  <si>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</si>
  <si>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Итого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</si>
  <si>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</si>
  <si>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</si>
  <si>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</si>
  <si>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</si>
  <si>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>Мероприятие 02.16 – Аварийно-восстановительные работы на объектах водоснабжения муниципальной собственности</t>
  </si>
  <si>
    <t>Выполнены аварийно-восстановительные работы на сетях водоснабжения муниципальной собственности,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</si>
  <si>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</si>
  <si>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</si>
  <si>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</si>
  <si>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Установлены и подключены дизель генераторные установки на специализированных площадках, ед.</t>
  </si>
  <si>
    <t>Приобретена специализированная техника для аварийных бригад, ед.</t>
  </si>
  <si>
    <t>Мероприятие 01.18 –  Возмещение затрат, связанных с получением комплексных экологических разрешений</t>
  </si>
  <si>
    <t>Ресурсоснабжающие организации, получившие комплексное экологическое разрешение,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</si>
  <si>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</si>
  <si>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</si>
  <si>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</si>
  <si>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Управление жилищно-коммунального хозяйства 
</t>
  </si>
  <si>
    <t>06.09.2022-29.11.2026</t>
  </si>
  <si>
    <t>01.04.2024-14.10.2025</t>
  </si>
  <si>
    <t>20.01.2023-14.10.2025</t>
  </si>
  <si>
    <t>01.01.2023-31.12.2025</t>
  </si>
  <si>
    <t>05.06.2023-31.12.2025</t>
  </si>
  <si>
    <t>Основное мероприятие И3 –  Модернизация коммунальной инфраструктуры</t>
  </si>
  <si>
    <t>Основное мероприятие И3 – «Модернизация коммунальной инфраструктуры»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</si>
  <si>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</si>
  <si>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02.03 – Организация в границах муниципального образования теплоснабжения населения</t>
  </si>
  <si>
    <t>Мероприятие 05.01. Утверждение схем теплоснабжения городских округов (актуализированных схем теплоснабжения муниципальных образований)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</si>
  <si>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</si>
  <si>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Мероприятие 05.04. Утверждение схем водоснабжения и водоотведения городских округов (актуализированных схем водоснабжения и водоотведения муниципальных образований)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</si>
  <si>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</si>
  <si>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</si>
  <si>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</si>
  <si>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</si>
  <si>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</si>
  <si>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</si>
  <si>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</si>
  <si>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380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</si>
  <si>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</si>
  <si>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</si>
  <si>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</si>
  <si>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</si>
  <si>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</si>
  <si>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1500 пог.м.</t>
  </si>
  <si>
    <t>1000  куб.м/сутки</t>
  </si>
  <si>
    <t>20.01.2026-29.11.2027</t>
  </si>
  <si>
    <t>3024 куб.м/сутки</t>
  </si>
  <si>
    <t>проектная - 
30 000 куб.м./сут.
фактическая - 
12 000 куб.м./сут.</t>
  </si>
  <si>
    <t>Строительство 
(в т.ч. проектные 
и изыскательские 
работы)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</si>
  <si>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</si>
  <si>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</si>
  <si>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</si>
  <si>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Мероприятие 01.01. Погашение просроченной задолженности управляющих организаций, поставщиков ресурсов (ресурсоснабжающих, теплоснабжающих организаций, гарантирующих организаций) (далее – поставщики ресурсов) перед поставщиками энергоресурсов (газа, электроэнергии, тепловой энергии) путем возмещения части недополученных доходов управляющих организаций, поставщиков ресурсов, образовавшихся в связи с задолженностью населения по оплате за жилое помещение и коммунальные услуги и (или) ликвидированных в установленном законодательством порядке юридических лиц, оказывавших услуги в сфере жилищно-коммунального хозяйства за потребленные ресурсы (газ, электроэнергию, тепловую энергию и воду), признанной невозможной к взысканию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</si>
  <si>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</si>
  <si>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</si>
  <si>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 xml:space="preserve"> Администрации Одинцовского
городского округа Московской области 
от __________________ №________</t>
  </si>
  <si>
    <t>Субсидия МУП ЖКХ «Назарьево» в целях уменьшения непокрытого убытка предприятия на 31.12.2024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</si>
  <si>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</si>
  <si>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</si>
  <si>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Поставка и монтаж очистного сооружения биологической очистки хоз-бытовых стоков   д. Фуньково</t>
  </si>
  <si>
    <t>Управление жилищно-коммунального хозяйства
(приложение 6 к муниципальной программе)</t>
  </si>
  <si>
    <t>Начальник Управления бухгалтерского учета и отчетности, главный бухгалтер</t>
  </si>
  <si>
    <t>Н.А. Стародубова</t>
  </si>
  <si>
    <t>Субсидия МУП "ЖКХ Назарьево" на уменьшение непокрытого убытка на 30.06.2025</t>
  </si>
  <si>
    <t>Субсидия МП "Звенигородские инженерные сети" в целях возмещения недополученных доходов и уменьшения непокрытого убытка на 31.12.2024 года</t>
  </si>
  <si>
    <t>Мероприятие 01.03 - Организация в границах муниципального образования водоотведения</t>
  </si>
  <si>
    <t>Приложение 1 к постановлению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</si>
  <si>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</si>
  <si>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</si>
  <si>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</si>
  <si>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01.10.2025-14.10.2026</t>
  </si>
  <si>
    <t>4.2.</t>
  </si>
  <si>
    <t>4.3.</t>
  </si>
  <si>
    <t>746,9 куб.м./сут.</t>
  </si>
  <si>
    <t>20.01.2026-29.11.2026</t>
  </si>
  <si>
    <t>Реконструкция очистных сооружений, производительностью 746,9 м3/сут деревни Липки, стр. 126 А, Московской области (в т.ч. ПИР)</t>
  </si>
  <si>
    <t>Московская область, Одинцовский г.о., д. Липки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</si>
  <si>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</si>
  <si>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</si>
  <si>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Московская область, Одинцовский г.о., делевня Липки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</si>
  <si>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</si>
  <si>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Приобретение, монтаж и ввод в эксплуатацию станции водоочистки на ВЗУ в дер.Липки г.о. Одинцовский</t>
  </si>
  <si>
    <t>Приложение 3 к постановлению</t>
  </si>
  <si>
    <t>01.03.2024-14.10.2025</t>
  </si>
  <si>
    <t>Мероприятие 01.25 – Строительство и реконструкция объектов теплоснабжения (дополнительные расходы на объекты, включенные в ГП МО)</t>
  </si>
  <si>
    <t>Реконструкция ЦТП, расположенного по адресу: Московская область, Одинцовский г.о., п. д/х Жуковка, Жуковка-1 (в т.ч. ПИР)</t>
  </si>
  <si>
    <t>Итого по мероприятию 01.25.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</si>
  <si>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</si>
  <si>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Итого по мероприятию 01.29.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</si>
  <si>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</si>
  <si>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Реконструкция котельной по адресу : Московская обл., Одинцовский г.о., г. Звенигород, ул. Ленина, д.30. , ( в т .ч. ПИР)</t>
  </si>
  <si>
    <t>1.4</t>
  </si>
  <si>
    <t>1.3</t>
  </si>
  <si>
    <t>1.5</t>
  </si>
  <si>
    <t>1.6</t>
  </si>
  <si>
    <t>ИТОГО по подпрограмме 6 "Развитие газификации, топливнозаправочного 
комплекса и электроэнергетики"</t>
  </si>
  <si>
    <t>Технологическое приоединение</t>
  </si>
  <si>
    <t>01.09.2025-31.12.2025</t>
  </si>
  <si>
    <t xml:space="preserve">Технические работы </t>
  </si>
  <si>
    <t>01.09.2025-31.12.2026</t>
  </si>
  <si>
    <t xml:space="preserve">Реконструкция ВЗУ ПМС-4  п.Часцовское Одинцовский г.о. </t>
  </si>
  <si>
    <t>20.01.2026-29.06.2026</t>
  </si>
  <si>
    <t>20.01.2025-14.10.2026</t>
  </si>
  <si>
    <t xml:space="preserve">20.01.2025-14.10.2026 </t>
  </si>
  <si>
    <t>20.01.2025-14.10.2025</t>
  </si>
  <si>
    <t>20.01.2023-29.11.2026</t>
  </si>
  <si>
    <t>03.03.2025-14.10.2026</t>
  </si>
  <si>
    <t>03.03.2025-14.10.2025</t>
  </si>
  <si>
    <t>08.07.2024-14.10.2026</t>
  </si>
  <si>
    <t>20.01.2026-
29.11.2028</t>
  </si>
  <si>
    <t>3 277 м</t>
  </si>
  <si>
    <t>ПРОЕКТ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</si>
</sst>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  <numFmt numFmtId="170" formatCode="0.000000000000000"/>
  </numFmts>
  <fonts count="25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1"/>
      <name val="Calibri"/>
      <family val="2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5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20"/>
      <name val="Calibri"/>
      <family val="2"/>
      <charset val="204"/>
      <scheme val="minor"/>
    </font>
    <font>
      <sz val="12"/>
      <name val="Calibri"/>
      <family val="2"/>
      <charset val="204"/>
    </font>
    <font>
      <sz val="16"/>
      <name val="Calibri"/>
      <family val="2"/>
      <charset val="204"/>
    </font>
    <font>
      <sz val="18"/>
      <name val="Calibri"/>
      <family val="2"/>
      <charset val="204"/>
      <scheme val="minor"/>
    </font>
    <font>
      <sz val="18"/>
      <name val="Calibri"/>
      <family val="2"/>
      <charset val="204"/>
    </font>
    <font>
      <b/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7">
    <xf numFmtId="0" fontId="0" fillId="0" borderId="0" xfId="0"/>
    <xf numFmtId="164" fontId="1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/>
    <xf numFmtId="0" fontId="6" fillId="0" borderId="0" xfId="0" applyFont="1" applyFill="1" applyBorder="1" applyAlignment="1">
      <alignment horizontal="right"/>
    </xf>
    <xf numFmtId="0" fontId="14" fillId="0" borderId="1" xfId="0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 applyProtection="1">
      <alignment horizontal="center" vertical="center"/>
    </xf>
    <xf numFmtId="166" fontId="14" fillId="0" borderId="1" xfId="0" applyNumberFormat="1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/>
    </xf>
    <xf numFmtId="0" fontId="14" fillId="0" borderId="0" xfId="0" applyFont="1" applyFill="1"/>
    <xf numFmtId="0" fontId="6" fillId="0" borderId="0" xfId="0" applyFont="1" applyFill="1"/>
    <xf numFmtId="0" fontId="9" fillId="0" borderId="0" xfId="0" applyFont="1" applyFill="1"/>
    <xf numFmtId="164" fontId="19" fillId="0" borderId="0" xfId="0" applyNumberFormat="1" applyFont="1" applyFill="1"/>
    <xf numFmtId="0" fontId="3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 wrapText="1"/>
    </xf>
    <xf numFmtId="4" fontId="1" fillId="0" borderId="7" xfId="0" applyNumberFormat="1" applyFont="1" applyFill="1" applyBorder="1" applyAlignment="1" applyProtection="1">
      <alignment horizontal="center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164" fontId="1" fillId="0" borderId="0" xfId="0" applyNumberFormat="1" applyFont="1" applyFill="1" applyBorder="1" applyAlignment="1" applyProtection="1"/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horizontal="right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top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23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left" vertical="top" wrapText="1"/>
    </xf>
    <xf numFmtId="164" fontId="4" fillId="0" borderId="3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top"/>
    </xf>
    <xf numFmtId="0" fontId="1" fillId="0" borderId="1" xfId="0" applyNumberFormat="1" applyFont="1" applyFill="1" applyBorder="1" applyAlignment="1" applyProtection="1">
      <alignment horizontal="center" vertical="top"/>
    </xf>
    <xf numFmtId="0" fontId="2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center" vertical="top" wrapText="1"/>
    </xf>
    <xf numFmtId="164" fontId="3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vertical="top"/>
    </xf>
    <xf numFmtId="0" fontId="4" fillId="0" borderId="1" xfId="0" applyNumberFormat="1" applyFont="1" applyFill="1" applyBorder="1" applyAlignment="1" applyProtection="1">
      <alignment vertical="top" wrapText="1"/>
    </xf>
    <xf numFmtId="0" fontId="1" fillId="0" borderId="1" xfId="0" applyNumberFormat="1" applyFont="1" applyFill="1" applyBorder="1" applyAlignment="1" applyProtection="1">
      <alignment vertical="top" wrapText="1"/>
    </xf>
    <xf numFmtId="164" fontId="4" fillId="0" borderId="3" xfId="0" applyNumberFormat="1" applyFont="1" applyFill="1" applyBorder="1" applyAlignment="1" applyProtection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top"/>
    </xf>
    <xf numFmtId="0" fontId="1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49" fontId="1" fillId="0" borderId="2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4" fontId="7" fillId="0" borderId="0" xfId="0" applyNumberFormat="1" applyFont="1" applyFill="1"/>
    <xf numFmtId="165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/>
    <xf numFmtId="4" fontId="3" fillId="0" borderId="0" xfId="0" applyNumberFormat="1" applyFont="1" applyFill="1" applyBorder="1" applyAlignment="1" applyProtection="1"/>
    <xf numFmtId="0" fontId="2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right"/>
    </xf>
    <xf numFmtId="0" fontId="14" fillId="0" borderId="0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horizontal="right"/>
    </xf>
    <xf numFmtId="0" fontId="6" fillId="0" borderId="8" xfId="0" applyFont="1" applyFill="1" applyBorder="1" applyAlignment="1">
      <alignment horizontal="right"/>
    </xf>
    <xf numFmtId="0" fontId="6" fillId="0" borderId="8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64" fontId="5" fillId="0" borderId="0" xfId="0" applyNumberFormat="1" applyFont="1" applyFill="1"/>
    <xf numFmtId="0" fontId="22" fillId="0" borderId="0" xfId="0" applyFont="1" applyFill="1"/>
    <xf numFmtId="0" fontId="18" fillId="0" borderId="0" xfId="0" applyFont="1" applyFill="1"/>
    <xf numFmtId="164" fontId="14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4" fontId="19" fillId="0" borderId="0" xfId="0" applyNumberFormat="1" applyFont="1" applyFill="1"/>
    <xf numFmtId="0" fontId="19" fillId="0" borderId="0" xfId="0" applyFont="1" applyFill="1"/>
    <xf numFmtId="4" fontId="5" fillId="0" borderId="0" xfId="0" applyNumberFormat="1" applyFont="1" applyFill="1"/>
    <xf numFmtId="166" fontId="14" fillId="0" borderId="1" xfId="0" applyNumberFormat="1" applyFont="1" applyFill="1" applyBorder="1" applyAlignment="1">
      <alignment horizontal="center" vertical="center" wrapText="1"/>
    </xf>
    <xf numFmtId="169" fontId="5" fillId="0" borderId="0" xfId="0" applyNumberFormat="1" applyFont="1" applyFill="1"/>
    <xf numFmtId="4" fontId="20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vertical="center"/>
    </xf>
    <xf numFmtId="4" fontId="20" fillId="0" borderId="0" xfId="0" applyNumberFormat="1" applyFont="1" applyFill="1"/>
    <xf numFmtId="169" fontId="18" fillId="0" borderId="0" xfId="0" applyNumberFormat="1" applyFont="1" applyFill="1"/>
    <xf numFmtId="169" fontId="22" fillId="0" borderId="0" xfId="0" applyNumberFormat="1" applyFont="1" applyFill="1"/>
    <xf numFmtId="164" fontId="18" fillId="0" borderId="0" xfId="0" applyNumberFormat="1" applyFont="1" applyFill="1"/>
    <xf numFmtId="169" fontId="19" fillId="0" borderId="0" xfId="0" applyNumberFormat="1" applyFont="1" applyFill="1"/>
    <xf numFmtId="168" fontId="19" fillId="0" borderId="0" xfId="0" applyNumberFormat="1" applyFont="1" applyFill="1"/>
    <xf numFmtId="170" fontId="19" fillId="0" borderId="0" xfId="0" applyNumberFormat="1" applyFont="1" applyFill="1"/>
    <xf numFmtId="0" fontId="16" fillId="0" borderId="1" xfId="0" applyFont="1" applyFill="1" applyBorder="1"/>
    <xf numFmtId="4" fontId="15" fillId="0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3" fillId="0" borderId="0" xfId="0" applyFont="1" applyFill="1" applyBorder="1" applyAlignment="1">
      <alignment horizontal="center"/>
    </xf>
    <xf numFmtId="0" fontId="14" fillId="0" borderId="0" xfId="0" applyFont="1" applyFill="1" applyAlignment="1">
      <alignment vertical="top"/>
    </xf>
    <xf numFmtId="167" fontId="9" fillId="0" borderId="0" xfId="0" applyNumberFormat="1" applyFont="1" applyFill="1" applyAlignment="1">
      <alignment horizontal="center" vertical="center" wrapText="1"/>
    </xf>
    <xf numFmtId="164" fontId="11" fillId="0" borderId="0" xfId="0" applyNumberFormat="1" applyFont="1" applyFill="1"/>
    <xf numFmtId="164" fontId="11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/>
    <xf numFmtId="0" fontId="12" fillId="0" borderId="0" xfId="0" applyFont="1" applyFill="1" applyAlignment="1">
      <alignment vertical="top"/>
    </xf>
    <xf numFmtId="0" fontId="12" fillId="0" borderId="0" xfId="0" applyFont="1" applyFill="1" applyAlignment="1">
      <alignment vertical="top" wrapText="1"/>
    </xf>
    <xf numFmtId="0" fontId="12" fillId="0" borderId="0" xfId="0" applyFont="1" applyFill="1"/>
    <xf numFmtId="0" fontId="13" fillId="0" borderId="0" xfId="0" applyFont="1" applyFill="1"/>
    <xf numFmtId="0" fontId="13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3" fillId="0" borderId="0" xfId="0" applyNumberFormat="1" applyFont="1" applyFill="1" applyBorder="1" applyAlignment="1" applyProtection="1">
      <alignment horizontal="right" vertical="top" wrapText="1"/>
    </xf>
    <xf numFmtId="168" fontId="1" fillId="0" borderId="0" xfId="0" applyNumberFormat="1" applyFont="1" applyFill="1" applyBorder="1" applyAlignment="1" applyProtection="1"/>
    <xf numFmtId="169" fontId="1" fillId="0" borderId="0" xfId="0" applyNumberFormat="1" applyFont="1" applyFill="1" applyBorder="1" applyAlignment="1" applyProtection="1"/>
    <xf numFmtId="4" fontId="1" fillId="0" borderId="0" xfId="0" applyNumberFormat="1" applyFont="1" applyFill="1" applyBorder="1" applyAlignment="1" applyProtection="1"/>
    <xf numFmtId="164" fontId="14" fillId="2" borderId="1" xfId="0" applyNumberFormat="1" applyFont="1" applyFill="1" applyBorder="1" applyAlignment="1">
      <alignment horizontal="center" vertical="center" wrapText="1"/>
    </xf>
    <xf numFmtId="164" fontId="14" fillId="2" borderId="1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4" xfId="0" applyNumberFormat="1" applyFont="1" applyFill="1" applyBorder="1" applyAlignment="1" applyProtection="1">
      <alignment horizontal="center" vertical="center"/>
    </xf>
    <xf numFmtId="164" fontId="1" fillId="0" borderId="5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4" xfId="0" applyNumberFormat="1" applyFont="1" applyFill="1" applyBorder="1" applyAlignment="1" applyProtection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165" fontId="4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center" vertical="top"/>
    </xf>
    <xf numFmtId="0" fontId="1" fillId="0" borderId="7" xfId="0" applyNumberFormat="1" applyFont="1" applyFill="1" applyBorder="1" applyAlignment="1" applyProtection="1">
      <alignment horizontal="center" vertical="top"/>
    </xf>
    <xf numFmtId="164" fontId="4" fillId="0" borderId="3" xfId="0" applyNumberFormat="1" applyFont="1" applyFill="1" applyBorder="1" applyAlignment="1" applyProtection="1">
      <alignment horizontal="center" vertical="center" wrapText="1"/>
    </xf>
    <xf numFmtId="164" fontId="4" fillId="0" borderId="4" xfId="0" applyNumberFormat="1" applyFont="1" applyFill="1" applyBorder="1" applyAlignment="1" applyProtection="1">
      <alignment horizontal="center" vertical="center" wrapText="1"/>
    </xf>
    <xf numFmtId="164" fontId="4" fillId="0" borderId="5" xfId="0" applyNumberFormat="1" applyFont="1" applyFill="1" applyBorder="1" applyAlignment="1" applyProtection="1">
      <alignment horizontal="center" vertical="center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164" fontId="4" fillId="0" borderId="3" xfId="0" applyNumberFormat="1" applyFont="1" applyFill="1" applyBorder="1" applyAlignment="1" applyProtection="1">
      <alignment horizontal="center" vertical="center"/>
    </xf>
    <xf numFmtId="164" fontId="4" fillId="0" borderId="4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0" fontId="21" fillId="0" borderId="10" xfId="0" applyNumberFormat="1" applyFont="1" applyFill="1" applyBorder="1" applyAlignment="1" applyProtection="1">
      <alignment horizontal="left" vertical="top" wrapText="1"/>
    </xf>
    <xf numFmtId="16" fontId="1" fillId="0" borderId="1" xfId="0" applyNumberFormat="1" applyFont="1" applyFill="1" applyBorder="1" applyAlignment="1" applyProtection="1">
      <alignment horizontal="center" vertical="top"/>
    </xf>
    <xf numFmtId="0" fontId="1" fillId="0" borderId="1" xfId="0" applyNumberFormat="1" applyFont="1" applyFill="1" applyBorder="1" applyAlignment="1" applyProtection="1">
      <alignment horizontal="center" vertical="top"/>
    </xf>
    <xf numFmtId="0" fontId="4" fillId="0" borderId="1" xfId="0" applyNumberFormat="1" applyFont="1" applyFill="1" applyBorder="1" applyAlignment="1" applyProtection="1">
      <alignment horizontal="center" vertical="top"/>
    </xf>
    <xf numFmtId="0" fontId="4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 vertical="top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6" xfId="0" applyNumberFormat="1" applyFont="1" applyFill="1" applyBorder="1" applyAlignment="1" applyProtection="1">
      <alignment horizontal="center" vertical="top" wrapText="1"/>
    </xf>
    <xf numFmtId="164" fontId="1" fillId="0" borderId="7" xfId="0" applyNumberFormat="1" applyFont="1" applyFill="1" applyBorder="1" applyAlignment="1" applyProtection="1">
      <alignment horizontal="center" vertical="top" wrapText="1"/>
    </xf>
    <xf numFmtId="0" fontId="4" fillId="0" borderId="1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165" fontId="1" fillId="0" borderId="2" xfId="0" applyNumberFormat="1" applyFont="1" applyFill="1" applyBorder="1" applyAlignment="1" applyProtection="1">
      <alignment horizontal="center" vertical="top" wrapText="1"/>
    </xf>
    <xf numFmtId="165" fontId="1" fillId="0" borderId="6" xfId="0" applyNumberFormat="1" applyFont="1" applyFill="1" applyBorder="1" applyAlignment="1" applyProtection="1">
      <alignment horizontal="center" vertical="top" wrapText="1"/>
    </xf>
    <xf numFmtId="165" fontId="1" fillId="0" borderId="7" xfId="0" applyNumberFormat="1" applyFont="1" applyFill="1" applyBorder="1" applyAlignment="1" applyProtection="1">
      <alignment horizontal="center" vertical="top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14" fontId="1" fillId="0" borderId="1" xfId="0" applyNumberFormat="1" applyFont="1" applyFill="1" applyBorder="1" applyAlignment="1" applyProtection="1">
      <alignment horizontal="center" vertical="top"/>
    </xf>
    <xf numFmtId="4" fontId="1" fillId="0" borderId="3" xfId="0" applyNumberFormat="1" applyFont="1" applyFill="1" applyBorder="1" applyAlignment="1" applyProtection="1">
      <alignment horizontal="center" vertical="center"/>
    </xf>
    <xf numFmtId="4" fontId="1" fillId="0" borderId="4" xfId="0" applyNumberFormat="1" applyFont="1" applyFill="1" applyBorder="1" applyAlignment="1" applyProtection="1">
      <alignment horizontal="center" vertical="center"/>
    </xf>
    <xf numFmtId="4" fontId="1" fillId="0" borderId="5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165" fontId="4" fillId="0" borderId="2" xfId="0" applyNumberFormat="1" applyFont="1" applyFill="1" applyBorder="1" applyAlignment="1" applyProtection="1">
      <alignment horizontal="center" vertical="center" wrapText="1"/>
    </xf>
    <xf numFmtId="165" fontId="4" fillId="0" borderId="6" xfId="0" applyNumberFormat="1" applyFont="1" applyFill="1" applyBorder="1" applyAlignment="1" applyProtection="1">
      <alignment horizontal="center" vertical="center" wrapText="1"/>
    </xf>
    <xf numFmtId="165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0" fontId="4" fillId="0" borderId="6" xfId="0" applyNumberFormat="1" applyFont="1" applyFill="1" applyBorder="1" applyAlignment="1" applyProtection="1">
      <alignment horizontal="lef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49" fontId="1" fillId="0" borderId="2" xfId="0" applyNumberFormat="1" applyFont="1" applyFill="1" applyBorder="1" applyAlignment="1" applyProtection="1">
      <alignment horizontal="center" vertical="top" wrapText="1"/>
    </xf>
    <xf numFmtId="49" fontId="1" fillId="0" borderId="6" xfId="0" applyNumberFormat="1" applyFont="1" applyFill="1" applyBorder="1" applyAlignment="1" applyProtection="1">
      <alignment horizontal="center" vertical="top" wrapText="1"/>
    </xf>
    <xf numFmtId="49" fontId="1" fillId="0" borderId="7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right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2" fontId="1" fillId="0" borderId="1" xfId="0" applyNumberFormat="1" applyFont="1" applyFill="1" applyBorder="1" applyAlignment="1" applyProtection="1">
      <alignment horizontal="center" vertical="top"/>
    </xf>
    <xf numFmtId="49" fontId="1" fillId="0" borderId="1" xfId="0" applyNumberFormat="1" applyFont="1" applyFill="1" applyBorder="1" applyAlignment="1" applyProtection="1">
      <alignment horizontal="center" vertical="top"/>
    </xf>
    <xf numFmtId="2" fontId="1" fillId="0" borderId="2" xfId="0" applyNumberFormat="1" applyFont="1" applyFill="1" applyBorder="1" applyAlignment="1" applyProtection="1">
      <alignment horizontal="center" vertical="top"/>
    </xf>
    <xf numFmtId="2" fontId="1" fillId="0" borderId="6" xfId="0" applyNumberFormat="1" applyFont="1" applyFill="1" applyBorder="1" applyAlignment="1" applyProtection="1">
      <alignment horizontal="center" vertical="top"/>
    </xf>
    <xf numFmtId="2" fontId="1" fillId="0" borderId="7" xfId="0" applyNumberFormat="1" applyFont="1" applyFill="1" applyBorder="1" applyAlignment="1" applyProtection="1">
      <alignment horizontal="center" vertical="top"/>
    </xf>
    <xf numFmtId="49" fontId="1" fillId="0" borderId="2" xfId="0" applyNumberFormat="1" applyFont="1" applyFill="1" applyBorder="1" applyAlignment="1" applyProtection="1">
      <alignment horizontal="center" vertical="top"/>
    </xf>
    <xf numFmtId="49" fontId="1" fillId="0" borderId="6" xfId="0" applyNumberFormat="1" applyFont="1" applyFill="1" applyBorder="1" applyAlignment="1" applyProtection="1">
      <alignment horizontal="center" vertical="top"/>
    </xf>
    <xf numFmtId="49" fontId="1" fillId="0" borderId="7" xfId="0" applyNumberFormat="1" applyFont="1" applyFill="1" applyBorder="1" applyAlignment="1" applyProtection="1">
      <alignment horizontal="center" vertical="top"/>
    </xf>
    <xf numFmtId="0" fontId="4" fillId="0" borderId="1" xfId="0" applyNumberFormat="1" applyFont="1" applyFill="1" applyBorder="1" applyAlignment="1" applyProtection="1">
      <alignment horizontal="center" vertical="top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14" fontId="14" fillId="0" borderId="2" xfId="0" applyNumberFormat="1" applyFont="1" applyFill="1" applyBorder="1" applyAlignment="1">
      <alignment horizontal="center" vertical="center" wrapText="1"/>
    </xf>
    <xf numFmtId="14" fontId="14" fillId="0" borderId="6" xfId="0" applyNumberFormat="1" applyFont="1" applyFill="1" applyBorder="1" applyAlignment="1">
      <alignment horizontal="center" vertical="center" wrapText="1"/>
    </xf>
    <xf numFmtId="14" fontId="14" fillId="0" borderId="7" xfId="0" applyNumberFormat="1" applyFont="1" applyFill="1" applyBorder="1" applyAlignment="1">
      <alignment horizontal="center" vertical="center" wrapText="1"/>
    </xf>
    <xf numFmtId="164" fontId="14" fillId="0" borderId="2" xfId="0" applyNumberFormat="1" applyFont="1" applyFill="1" applyBorder="1" applyAlignment="1">
      <alignment horizontal="center" vertical="center" wrapText="1"/>
    </xf>
    <xf numFmtId="164" fontId="14" fillId="0" borderId="6" xfId="0" applyNumberFormat="1" applyFont="1" applyFill="1" applyBorder="1" applyAlignment="1">
      <alignment horizontal="center" vertical="center" wrapText="1"/>
    </xf>
    <xf numFmtId="164" fontId="14" fillId="0" borderId="7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left" vertical="center"/>
    </xf>
    <xf numFmtId="14" fontId="14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14" fillId="0" borderId="9" xfId="0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left" vertical="center"/>
    </xf>
    <xf numFmtId="0" fontId="14" fillId="0" borderId="13" xfId="0" applyFont="1" applyFill="1" applyBorder="1" applyAlignment="1">
      <alignment horizontal="left" vertical="center"/>
    </xf>
    <xf numFmtId="0" fontId="14" fillId="0" borderId="1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14" xfId="0" applyFont="1" applyFill="1" applyBorder="1" applyAlignment="1">
      <alignment horizontal="left" vertical="center"/>
    </xf>
    <xf numFmtId="0" fontId="14" fillId="0" borderId="11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right"/>
    </xf>
    <xf numFmtId="0" fontId="15" fillId="0" borderId="0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right"/>
    </xf>
    <xf numFmtId="0" fontId="14" fillId="0" borderId="0" xfId="0" applyFont="1" applyFill="1" applyAlignment="1">
      <alignment horizontal="right" wrapText="1"/>
    </xf>
    <xf numFmtId="0" fontId="11" fillId="0" borderId="10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4" fillId="0" borderId="0" xfId="0" applyNumberFormat="1" applyFont="1" applyFill="1" applyBorder="1" applyAlignment="1" applyProtection="1">
      <alignment horizontal="center" vertical="top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left" vertical="top" wrapText="1"/>
    </xf>
    <xf numFmtId="0" fontId="4" fillId="0" borderId="6" xfId="0" applyNumberFormat="1" applyFont="1" applyFill="1" applyBorder="1" applyAlignment="1" applyProtection="1">
      <alignment horizontal="left" vertical="top" wrapText="1"/>
    </xf>
    <xf numFmtId="0" fontId="4" fillId="0" borderId="7" xfId="0" applyNumberFormat="1" applyFont="1" applyFill="1" applyBorder="1" applyAlignment="1" applyProtection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91"/>
  <sheetViews>
    <sheetView tabSelected="1" view="pageBreakPreview" zoomScale="70" zoomScaleNormal="70" zoomScaleSheetLayoutView="70" zoomScalePageLayoutView="70" workbookViewId="0">
      <selection activeCell="H477" sqref="H477:L477"/>
    </sheetView>
  </sheetViews>
  <sheetFormatPr defaultColWidth="8.85546875" defaultRowHeight="75" customHeight="1" x14ac:dyDescent="0.3"/>
  <cols>
    <col min="1" max="1" width="14.140625" style="63" customWidth="1"/>
    <col min="2" max="2" width="43" style="12" customWidth="1"/>
    <col min="3" max="3" width="18" style="12" customWidth="1"/>
    <col min="4" max="4" width="37.5703125" style="12" customWidth="1"/>
    <col min="5" max="5" width="19.85546875" style="12" customWidth="1"/>
    <col min="6" max="6" width="18.140625" style="12" customWidth="1"/>
    <col min="7" max="7" width="20.140625" style="12" customWidth="1"/>
    <col min="8" max="12" width="15.85546875" style="12" customWidth="1"/>
    <col min="13" max="13" width="19.5703125" style="12" customWidth="1"/>
    <col min="14" max="14" width="19.42578125" style="12" customWidth="1"/>
    <col min="15" max="15" width="34" style="12" customWidth="1"/>
    <col min="16" max="16" width="19.85546875" style="12" customWidth="1"/>
    <col min="17" max="17" width="18.140625" style="12" customWidth="1"/>
    <col min="18" max="16384" width="8.85546875" style="12"/>
  </cols>
  <sheetData>
    <row r="1" spans="1:15" ht="33" customHeight="1" x14ac:dyDescent="0.3">
      <c r="A1" s="31"/>
      <c r="B1" s="31"/>
      <c r="C1" s="31"/>
      <c r="D1" s="19"/>
      <c r="E1" s="19"/>
      <c r="F1" s="32"/>
      <c r="G1" s="19"/>
      <c r="O1" s="33" t="s">
        <v>566</v>
      </c>
    </row>
    <row r="2" spans="1:15" ht="68.25" customHeight="1" x14ac:dyDescent="0.3">
      <c r="A2" s="31"/>
      <c r="B2" s="31"/>
      <c r="C2" s="31"/>
      <c r="D2" s="19"/>
      <c r="E2" s="19"/>
      <c r="F2" s="163" t="s">
        <v>611</v>
      </c>
      <c r="G2" s="164"/>
      <c r="N2" s="202" t="s">
        <v>554</v>
      </c>
      <c r="O2" s="202"/>
    </row>
    <row r="3" spans="1:15" ht="24.75" customHeight="1" x14ac:dyDescent="0.3">
      <c r="A3" s="31"/>
      <c r="B3" s="31"/>
      <c r="C3" s="31"/>
      <c r="D3" s="19"/>
      <c r="E3" s="19"/>
      <c r="F3" s="19"/>
      <c r="G3" s="19"/>
      <c r="N3" s="34"/>
      <c r="O3" s="34"/>
    </row>
    <row r="4" spans="1:15" ht="30.75" customHeight="1" x14ac:dyDescent="0.3">
      <c r="A4" s="165" t="s">
        <v>253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</row>
    <row r="5" spans="1:15" ht="24.75" customHeight="1" x14ac:dyDescent="0.3">
      <c r="A5" s="166" t="s">
        <v>55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</row>
    <row r="6" spans="1:15" ht="19.5" customHeight="1" x14ac:dyDescent="0.3">
      <c r="A6" s="166" t="s">
        <v>68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</row>
    <row r="7" spans="1:15" ht="15" customHeight="1" x14ac:dyDescent="0.3">
      <c r="A7" s="168"/>
      <c r="B7" s="168"/>
      <c r="C7" s="168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</row>
    <row r="8" spans="1:15" ht="38.25" customHeight="1" x14ac:dyDescent="0.3">
      <c r="A8" s="167" t="s">
        <v>0</v>
      </c>
      <c r="B8" s="131" t="s">
        <v>56</v>
      </c>
      <c r="C8" s="131" t="s">
        <v>1</v>
      </c>
      <c r="D8" s="131" t="s">
        <v>2</v>
      </c>
      <c r="E8" s="131" t="s">
        <v>3</v>
      </c>
      <c r="F8" s="167" t="s">
        <v>4</v>
      </c>
      <c r="G8" s="167"/>
      <c r="H8" s="167"/>
      <c r="I8" s="167"/>
      <c r="J8" s="167"/>
      <c r="K8" s="167"/>
      <c r="L8" s="167"/>
      <c r="M8" s="167"/>
      <c r="N8" s="167"/>
      <c r="O8" s="131" t="s">
        <v>5</v>
      </c>
    </row>
    <row r="9" spans="1:15" ht="53.25" customHeight="1" x14ac:dyDescent="0.3">
      <c r="A9" s="167"/>
      <c r="B9" s="131"/>
      <c r="C9" s="131"/>
      <c r="D9" s="131"/>
      <c r="E9" s="131"/>
      <c r="F9" s="35">
        <v>2023</v>
      </c>
      <c r="G9" s="35">
        <v>2024</v>
      </c>
      <c r="H9" s="187">
        <v>2025</v>
      </c>
      <c r="I9" s="188"/>
      <c r="J9" s="188"/>
      <c r="K9" s="188"/>
      <c r="L9" s="189"/>
      <c r="M9" s="13">
        <v>2026</v>
      </c>
      <c r="N9" s="13">
        <v>2027</v>
      </c>
      <c r="O9" s="131"/>
    </row>
    <row r="10" spans="1:15" ht="24.75" customHeight="1" x14ac:dyDescent="0.3">
      <c r="A10" s="13">
        <v>1</v>
      </c>
      <c r="B10" s="13">
        <v>2</v>
      </c>
      <c r="C10" s="13">
        <v>3</v>
      </c>
      <c r="D10" s="13">
        <v>4</v>
      </c>
      <c r="E10" s="13">
        <v>5</v>
      </c>
      <c r="F10" s="35">
        <v>6</v>
      </c>
      <c r="G10" s="35">
        <v>7</v>
      </c>
      <c r="H10" s="187">
        <v>8</v>
      </c>
      <c r="I10" s="188"/>
      <c r="J10" s="188"/>
      <c r="K10" s="188"/>
      <c r="L10" s="189"/>
      <c r="M10" s="13">
        <v>9</v>
      </c>
      <c r="N10" s="13">
        <v>10</v>
      </c>
      <c r="O10" s="13">
        <v>11</v>
      </c>
    </row>
    <row r="11" spans="1:15" ht="26.25" customHeight="1" x14ac:dyDescent="0.3">
      <c r="A11" s="36"/>
      <c r="B11" s="203" t="s">
        <v>131</v>
      </c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  <c r="O11" s="204"/>
    </row>
    <row r="12" spans="1:15" ht="30" customHeight="1" x14ac:dyDescent="0.3">
      <c r="A12" s="161" t="s">
        <v>6</v>
      </c>
      <c r="B12" s="137" t="s">
        <v>7</v>
      </c>
      <c r="C12" s="161" t="s">
        <v>67</v>
      </c>
      <c r="D12" s="37" t="s">
        <v>8</v>
      </c>
      <c r="E12" s="21">
        <f>F12+G12+H12+M12+N12</f>
        <v>2718548.094</v>
      </c>
      <c r="F12" s="21">
        <f>SUM(F13:F14)</f>
        <v>8310.3119999999999</v>
      </c>
      <c r="G12" s="26">
        <f>SUM(G13:G14)</f>
        <v>50220.451999999997</v>
      </c>
      <c r="H12" s="133">
        <f>SUM(H13:H14)</f>
        <v>143366.62</v>
      </c>
      <c r="I12" s="134"/>
      <c r="J12" s="134"/>
      <c r="K12" s="134"/>
      <c r="L12" s="135"/>
      <c r="M12" s="21">
        <f>SUM(M13:M14)</f>
        <v>839150.37</v>
      </c>
      <c r="N12" s="21">
        <f>SUM(N13:N14)</f>
        <v>1677500.34</v>
      </c>
      <c r="O12" s="127"/>
    </row>
    <row r="13" spans="1:15" ht="45" customHeight="1" x14ac:dyDescent="0.3">
      <c r="A13" s="161"/>
      <c r="B13" s="137"/>
      <c r="C13" s="161"/>
      <c r="D13" s="38" t="s">
        <v>10</v>
      </c>
      <c r="E13" s="21">
        <f>F13+G13+H13+M13+N13</f>
        <v>1792461.1400000001</v>
      </c>
      <c r="F13" s="21">
        <f>F17</f>
        <v>600.49</v>
      </c>
      <c r="G13" s="26">
        <f>G17</f>
        <v>25350</v>
      </c>
      <c r="H13" s="133">
        <f>H17+H23+H36</f>
        <v>90637.01</v>
      </c>
      <c r="I13" s="134"/>
      <c r="J13" s="134"/>
      <c r="K13" s="134"/>
      <c r="L13" s="135"/>
      <c r="M13" s="21">
        <f>M17+M23+M36</f>
        <v>642470.46</v>
      </c>
      <c r="N13" s="21">
        <f>N17+N23+N36</f>
        <v>1033403.1800000002</v>
      </c>
      <c r="O13" s="127"/>
    </row>
    <row r="14" spans="1:15" ht="45" customHeight="1" x14ac:dyDescent="0.3">
      <c r="A14" s="161"/>
      <c r="B14" s="137"/>
      <c r="C14" s="161"/>
      <c r="D14" s="38" t="s">
        <v>11</v>
      </c>
      <c r="E14" s="21">
        <f>F14+G14+H14+M14+N14</f>
        <v>926086.95399999991</v>
      </c>
      <c r="F14" s="21">
        <f>F18+F24+F31+F37</f>
        <v>7709.8220000000001</v>
      </c>
      <c r="G14" s="26">
        <f>G18+G24+G31+G37</f>
        <v>24870.451999999997</v>
      </c>
      <c r="H14" s="133">
        <f>H18+H24+H31+H37</f>
        <v>52729.61</v>
      </c>
      <c r="I14" s="134"/>
      <c r="J14" s="134"/>
      <c r="K14" s="134"/>
      <c r="L14" s="135"/>
      <c r="M14" s="21">
        <f>M18+M24+M31+M37</f>
        <v>196679.91</v>
      </c>
      <c r="N14" s="21">
        <f>N18+N24+N31+N37</f>
        <v>644097.15999999992</v>
      </c>
      <c r="O14" s="127"/>
    </row>
    <row r="15" spans="1:15" ht="35.25" customHeight="1" x14ac:dyDescent="0.3">
      <c r="A15" s="161"/>
      <c r="B15" s="137"/>
      <c r="C15" s="161"/>
      <c r="D15" s="38" t="s">
        <v>12</v>
      </c>
      <c r="E15" s="21">
        <f>SUM(F15:N15)</f>
        <v>0</v>
      </c>
      <c r="F15" s="21">
        <f>F25</f>
        <v>0</v>
      </c>
      <c r="G15" s="26">
        <f>G25</f>
        <v>0</v>
      </c>
      <c r="H15" s="133">
        <f t="shared" ref="H15:N15" si="0">H25</f>
        <v>0</v>
      </c>
      <c r="I15" s="134"/>
      <c r="J15" s="134"/>
      <c r="K15" s="134"/>
      <c r="L15" s="135"/>
      <c r="M15" s="21">
        <f t="shared" si="0"/>
        <v>0</v>
      </c>
      <c r="N15" s="21">
        <f t="shared" si="0"/>
        <v>0</v>
      </c>
      <c r="O15" s="127"/>
    </row>
    <row r="16" spans="1:15" ht="32.25" customHeight="1" x14ac:dyDescent="0.3">
      <c r="A16" s="161" t="s">
        <v>13</v>
      </c>
      <c r="B16" s="137" t="s">
        <v>69</v>
      </c>
      <c r="C16" s="161" t="s">
        <v>67</v>
      </c>
      <c r="D16" s="38" t="s">
        <v>8</v>
      </c>
      <c r="E16" s="21">
        <f>'Строительство и реконструкция'!K75</f>
        <v>2411771.11</v>
      </c>
      <c r="F16" s="21">
        <f>'Строительство и реконструкция'!L75</f>
        <v>960.78</v>
      </c>
      <c r="G16" s="21">
        <f>'Строительство и реконструкция'!M75</f>
        <v>45649.67</v>
      </c>
      <c r="H16" s="133">
        <f>'Строительство и реконструкция'!N75</f>
        <v>143366.62</v>
      </c>
      <c r="I16" s="134"/>
      <c r="J16" s="134"/>
      <c r="K16" s="134"/>
      <c r="L16" s="135"/>
      <c r="M16" s="21">
        <f>'Строительство и реконструкция'!O75</f>
        <v>693633.7</v>
      </c>
      <c r="N16" s="21">
        <f>'Строительство и реконструкция'!P75</f>
        <v>1528160.3399999999</v>
      </c>
      <c r="O16" s="127" t="s">
        <v>264</v>
      </c>
    </row>
    <row r="17" spans="1:15" ht="39.75" customHeight="1" x14ac:dyDescent="0.3">
      <c r="A17" s="161"/>
      <c r="B17" s="137"/>
      <c r="C17" s="161"/>
      <c r="D17" s="38" t="s">
        <v>10</v>
      </c>
      <c r="E17" s="21">
        <f>'Строительство и реконструкция'!K76</f>
        <v>1556825.48</v>
      </c>
      <c r="F17" s="21">
        <f>'Строительство и реконструкция'!L76</f>
        <v>600.49</v>
      </c>
      <c r="G17" s="21">
        <f>'Строительство и реконструкция'!M76</f>
        <v>25350</v>
      </c>
      <c r="H17" s="133">
        <f>'Строительство и реконструкция'!N76</f>
        <v>90637.01</v>
      </c>
      <c r="I17" s="134"/>
      <c r="J17" s="134"/>
      <c r="K17" s="134"/>
      <c r="L17" s="135"/>
      <c r="M17" s="21">
        <f>'Строительство и реконструкция'!O76</f>
        <v>499398.95999999996</v>
      </c>
      <c r="N17" s="21">
        <f>'Строительство и реконструкция'!P76</f>
        <v>940839.02000000014</v>
      </c>
      <c r="O17" s="127"/>
    </row>
    <row r="18" spans="1:15" ht="39" customHeight="1" x14ac:dyDescent="0.3">
      <c r="A18" s="161"/>
      <c r="B18" s="137"/>
      <c r="C18" s="161"/>
      <c r="D18" s="38" t="s">
        <v>11</v>
      </c>
      <c r="E18" s="21">
        <f>'Строительство и реконструкция'!K77</f>
        <v>854945.62999999989</v>
      </c>
      <c r="F18" s="21">
        <f>'Строительство и реконструкция'!L77</f>
        <v>360.29</v>
      </c>
      <c r="G18" s="21">
        <f>'Строительство и реконструкция'!M77</f>
        <v>20299.669999999998</v>
      </c>
      <c r="H18" s="133">
        <f>'Строительство и реконструкция'!N77</f>
        <v>52729.61</v>
      </c>
      <c r="I18" s="134"/>
      <c r="J18" s="134"/>
      <c r="K18" s="134"/>
      <c r="L18" s="135"/>
      <c r="M18" s="21">
        <f>'Строительство и реконструкция'!O77</f>
        <v>194234.74</v>
      </c>
      <c r="N18" s="21">
        <f>'Строительство и реконструкция'!P77</f>
        <v>587321.31999999995</v>
      </c>
      <c r="O18" s="127"/>
    </row>
    <row r="19" spans="1:15" ht="25.5" customHeight="1" x14ac:dyDescent="0.3">
      <c r="A19" s="161"/>
      <c r="B19" s="137" t="s">
        <v>295</v>
      </c>
      <c r="C19" s="131" t="s">
        <v>101</v>
      </c>
      <c r="D19" s="131" t="s">
        <v>101</v>
      </c>
      <c r="E19" s="126" t="s">
        <v>102</v>
      </c>
      <c r="F19" s="126" t="s">
        <v>103</v>
      </c>
      <c r="G19" s="139" t="s">
        <v>501</v>
      </c>
      <c r="H19" s="132" t="s">
        <v>500</v>
      </c>
      <c r="I19" s="126" t="s">
        <v>332</v>
      </c>
      <c r="J19" s="126"/>
      <c r="K19" s="126"/>
      <c r="L19" s="126"/>
      <c r="M19" s="126" t="s">
        <v>105</v>
      </c>
      <c r="N19" s="126" t="s">
        <v>106</v>
      </c>
      <c r="O19" s="127"/>
    </row>
    <row r="20" spans="1:15" ht="23.25" customHeight="1" x14ac:dyDescent="0.3">
      <c r="A20" s="161"/>
      <c r="B20" s="137"/>
      <c r="C20" s="131"/>
      <c r="D20" s="131"/>
      <c r="E20" s="126"/>
      <c r="F20" s="126"/>
      <c r="G20" s="140"/>
      <c r="H20" s="126"/>
      <c r="I20" s="21" t="s">
        <v>327</v>
      </c>
      <c r="J20" s="21" t="s">
        <v>328</v>
      </c>
      <c r="K20" s="21" t="s">
        <v>329</v>
      </c>
      <c r="L20" s="21" t="s">
        <v>330</v>
      </c>
      <c r="M20" s="126"/>
      <c r="N20" s="126"/>
      <c r="O20" s="127"/>
    </row>
    <row r="21" spans="1:15" ht="29.25" customHeight="1" x14ac:dyDescent="0.3">
      <c r="A21" s="161"/>
      <c r="B21" s="137"/>
      <c r="C21" s="131"/>
      <c r="D21" s="131"/>
      <c r="E21" s="14">
        <f>F21+G21+H21+M21+N21</f>
        <v>6</v>
      </c>
      <c r="F21" s="14">
        <v>0</v>
      </c>
      <c r="G21" s="14">
        <v>0</v>
      </c>
      <c r="H21" s="14">
        <v>1</v>
      </c>
      <c r="I21" s="14">
        <v>0</v>
      </c>
      <c r="J21" s="14">
        <v>0</v>
      </c>
      <c r="K21" s="14">
        <v>0</v>
      </c>
      <c r="L21" s="14">
        <v>1</v>
      </c>
      <c r="M21" s="14">
        <v>1</v>
      </c>
      <c r="N21" s="14">
        <v>4</v>
      </c>
      <c r="O21" s="127"/>
    </row>
    <row r="22" spans="1:15" ht="27" customHeight="1" x14ac:dyDescent="0.3">
      <c r="A22" s="207" t="s">
        <v>16</v>
      </c>
      <c r="B22" s="137" t="s">
        <v>70</v>
      </c>
      <c r="C22" s="161" t="s">
        <v>67</v>
      </c>
      <c r="D22" s="38" t="s">
        <v>8</v>
      </c>
      <c r="E22" s="21">
        <f>'Строительство и реконструкция'!K88</f>
        <v>292856.67</v>
      </c>
      <c r="F22" s="21">
        <v>0</v>
      </c>
      <c r="G22" s="21">
        <v>0</v>
      </c>
      <c r="H22" s="133">
        <f>'Строительство и реконструкция'!N88</f>
        <v>0</v>
      </c>
      <c r="I22" s="134"/>
      <c r="J22" s="134"/>
      <c r="K22" s="134"/>
      <c r="L22" s="135"/>
      <c r="M22" s="21">
        <f>'Строительство и реконструкция'!O88</f>
        <v>144516.66999999998</v>
      </c>
      <c r="N22" s="21">
        <f>'Строительство и реконструкция'!P88</f>
        <v>148340</v>
      </c>
      <c r="O22" s="127" t="s">
        <v>263</v>
      </c>
    </row>
    <row r="23" spans="1:15" ht="34.5" customHeight="1" x14ac:dyDescent="0.3">
      <c r="A23" s="207"/>
      <c r="B23" s="137"/>
      <c r="C23" s="161"/>
      <c r="D23" s="38" t="s">
        <v>10</v>
      </c>
      <c r="E23" s="21">
        <f>'Строительство и реконструкция'!K89</f>
        <v>235635.66</v>
      </c>
      <c r="F23" s="21">
        <v>0</v>
      </c>
      <c r="G23" s="21">
        <v>0</v>
      </c>
      <c r="H23" s="133">
        <f>'Строительство и реконструкция'!N89</f>
        <v>0</v>
      </c>
      <c r="I23" s="134"/>
      <c r="J23" s="134"/>
      <c r="K23" s="134"/>
      <c r="L23" s="135"/>
      <c r="M23" s="21">
        <f>'Строительство и реконструкция'!O89</f>
        <v>143071.5</v>
      </c>
      <c r="N23" s="21">
        <f>'Строительство и реконструкция'!P89</f>
        <v>92564.160000000003</v>
      </c>
      <c r="O23" s="127"/>
    </row>
    <row r="24" spans="1:15" ht="34.5" customHeight="1" x14ac:dyDescent="0.3">
      <c r="A24" s="207"/>
      <c r="B24" s="137"/>
      <c r="C24" s="161"/>
      <c r="D24" s="38" t="s">
        <v>11</v>
      </c>
      <c r="E24" s="21">
        <f>'Строительство и реконструкция'!K90</f>
        <v>57221.009999999995</v>
      </c>
      <c r="F24" s="21">
        <v>0</v>
      </c>
      <c r="G24" s="21">
        <v>0</v>
      </c>
      <c r="H24" s="133">
        <f>'Строительство и реконструкция'!N90</f>
        <v>0</v>
      </c>
      <c r="I24" s="134"/>
      <c r="J24" s="134"/>
      <c r="K24" s="134"/>
      <c r="L24" s="135"/>
      <c r="M24" s="21">
        <f>'Строительство и реконструкция'!O90</f>
        <v>1445.17</v>
      </c>
      <c r="N24" s="21">
        <f>'Строительство и реконструкция'!P90</f>
        <v>55775.839999999997</v>
      </c>
      <c r="O24" s="127"/>
    </row>
    <row r="25" spans="1:15" ht="34.5" customHeight="1" x14ac:dyDescent="0.3">
      <c r="A25" s="207"/>
      <c r="B25" s="137"/>
      <c r="C25" s="161"/>
      <c r="D25" s="38" t="s">
        <v>15</v>
      </c>
      <c r="E25" s="21">
        <v>0</v>
      </c>
      <c r="F25" s="21">
        <v>0</v>
      </c>
      <c r="G25" s="21">
        <v>0</v>
      </c>
      <c r="H25" s="133">
        <v>0</v>
      </c>
      <c r="I25" s="134"/>
      <c r="J25" s="134"/>
      <c r="K25" s="134"/>
      <c r="L25" s="135"/>
      <c r="M25" s="21">
        <v>0</v>
      </c>
      <c r="N25" s="21">
        <v>0</v>
      </c>
      <c r="O25" s="127"/>
    </row>
    <row r="26" spans="1:15" ht="28.5" customHeight="1" x14ac:dyDescent="0.3">
      <c r="A26" s="207"/>
      <c r="B26" s="137" t="s">
        <v>296</v>
      </c>
      <c r="C26" s="131" t="s">
        <v>101</v>
      </c>
      <c r="D26" s="131" t="s">
        <v>101</v>
      </c>
      <c r="E26" s="126" t="s">
        <v>102</v>
      </c>
      <c r="F26" s="126" t="s">
        <v>103</v>
      </c>
      <c r="G26" s="139" t="s">
        <v>501</v>
      </c>
      <c r="H26" s="132" t="s">
        <v>500</v>
      </c>
      <c r="I26" s="126" t="s">
        <v>332</v>
      </c>
      <c r="J26" s="126"/>
      <c r="K26" s="126"/>
      <c r="L26" s="126"/>
      <c r="M26" s="126" t="s">
        <v>105</v>
      </c>
      <c r="N26" s="126" t="s">
        <v>106</v>
      </c>
      <c r="O26" s="127"/>
    </row>
    <row r="27" spans="1:15" ht="24" customHeight="1" x14ac:dyDescent="0.3">
      <c r="A27" s="207"/>
      <c r="B27" s="137"/>
      <c r="C27" s="131"/>
      <c r="D27" s="131"/>
      <c r="E27" s="126"/>
      <c r="F27" s="126"/>
      <c r="G27" s="140"/>
      <c r="H27" s="126"/>
      <c r="I27" s="21" t="s">
        <v>327</v>
      </c>
      <c r="J27" s="21" t="s">
        <v>328</v>
      </c>
      <c r="K27" s="21" t="s">
        <v>329</v>
      </c>
      <c r="L27" s="21" t="s">
        <v>330</v>
      </c>
      <c r="M27" s="126"/>
      <c r="N27" s="126"/>
      <c r="O27" s="127"/>
    </row>
    <row r="28" spans="1:15" ht="35.25" customHeight="1" x14ac:dyDescent="0.3">
      <c r="A28" s="207"/>
      <c r="B28" s="137"/>
      <c r="C28" s="131"/>
      <c r="D28" s="131"/>
      <c r="E28" s="14">
        <v>3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1</v>
      </c>
      <c r="N28" s="14">
        <v>2</v>
      </c>
      <c r="O28" s="127"/>
    </row>
    <row r="29" spans="1:15" ht="27" customHeight="1" x14ac:dyDescent="0.3">
      <c r="A29" s="161" t="s">
        <v>22</v>
      </c>
      <c r="B29" s="137" t="s">
        <v>99</v>
      </c>
      <c r="C29" s="127" t="s">
        <v>67</v>
      </c>
      <c r="D29" s="38" t="s">
        <v>14</v>
      </c>
      <c r="E29" s="21">
        <f>'Строительство и реконструкция'!K95</f>
        <v>3941.5639999999999</v>
      </c>
      <c r="F29" s="21">
        <f>'Строительство и реконструкция'!L95</f>
        <v>1970.7819999999999</v>
      </c>
      <c r="G29" s="21">
        <f>'Строительство и реконструкция'!M95</f>
        <v>1970.7819999999999</v>
      </c>
      <c r="H29" s="126">
        <f>'Строительство и реконструкция'!N95</f>
        <v>0</v>
      </c>
      <c r="I29" s="126"/>
      <c r="J29" s="126"/>
      <c r="K29" s="126"/>
      <c r="L29" s="126"/>
      <c r="M29" s="21">
        <f>'Строительство и реконструкция'!O95</f>
        <v>0</v>
      </c>
      <c r="N29" s="21">
        <f>'Строительство и реконструкция'!P95</f>
        <v>0</v>
      </c>
      <c r="O29" s="127" t="s">
        <v>263</v>
      </c>
    </row>
    <row r="30" spans="1:15" ht="34.5" customHeight="1" x14ac:dyDescent="0.3">
      <c r="A30" s="161"/>
      <c r="B30" s="137"/>
      <c r="C30" s="127"/>
      <c r="D30" s="38" t="s">
        <v>10</v>
      </c>
      <c r="E30" s="21">
        <f>'Строительство и реконструкция'!K96</f>
        <v>0</v>
      </c>
      <c r="F30" s="21">
        <f>'Строительство и реконструкция'!L96</f>
        <v>0</v>
      </c>
      <c r="G30" s="21">
        <f>'Строительство и реконструкция'!M96</f>
        <v>0</v>
      </c>
      <c r="H30" s="126">
        <f>'Строительство и реконструкция'!N96</f>
        <v>0</v>
      </c>
      <c r="I30" s="126"/>
      <c r="J30" s="126"/>
      <c r="K30" s="126"/>
      <c r="L30" s="126"/>
      <c r="M30" s="21">
        <f>'Строительство и реконструкция'!O96</f>
        <v>0</v>
      </c>
      <c r="N30" s="21">
        <f>'Строительство и реконструкция'!P96</f>
        <v>0</v>
      </c>
      <c r="O30" s="127"/>
    </row>
    <row r="31" spans="1:15" ht="34.5" customHeight="1" x14ac:dyDescent="0.3">
      <c r="A31" s="161"/>
      <c r="B31" s="137"/>
      <c r="C31" s="127"/>
      <c r="D31" s="38" t="s">
        <v>11</v>
      </c>
      <c r="E31" s="21">
        <f>'Строительство и реконструкция'!K97</f>
        <v>3941.5639999999999</v>
      </c>
      <c r="F31" s="21">
        <f>'Строительство и реконструкция'!L97</f>
        <v>1970.7819999999999</v>
      </c>
      <c r="G31" s="21">
        <f>'Строительство и реконструкция'!M97</f>
        <v>1970.7819999999999</v>
      </c>
      <c r="H31" s="126">
        <f>'Строительство и реконструкция'!N97</f>
        <v>0</v>
      </c>
      <c r="I31" s="126"/>
      <c r="J31" s="126"/>
      <c r="K31" s="126"/>
      <c r="L31" s="126"/>
      <c r="M31" s="21">
        <f>'Строительство и реконструкция'!O97</f>
        <v>0</v>
      </c>
      <c r="N31" s="21">
        <f>'Строительство и реконструкция'!P97</f>
        <v>0</v>
      </c>
      <c r="O31" s="127"/>
    </row>
    <row r="32" spans="1:15" ht="21" customHeight="1" x14ac:dyDescent="0.3">
      <c r="A32" s="161"/>
      <c r="B32" s="137" t="s">
        <v>71</v>
      </c>
      <c r="C32" s="131" t="s">
        <v>101</v>
      </c>
      <c r="D32" s="131" t="s">
        <v>101</v>
      </c>
      <c r="E32" s="126" t="s">
        <v>102</v>
      </c>
      <c r="F32" s="126" t="s">
        <v>103</v>
      </c>
      <c r="G32" s="132" t="s">
        <v>501</v>
      </c>
      <c r="H32" s="132" t="s">
        <v>500</v>
      </c>
      <c r="I32" s="126" t="s">
        <v>332</v>
      </c>
      <c r="J32" s="126"/>
      <c r="K32" s="126"/>
      <c r="L32" s="126"/>
      <c r="M32" s="126" t="s">
        <v>105</v>
      </c>
      <c r="N32" s="126" t="s">
        <v>106</v>
      </c>
      <c r="O32" s="127"/>
    </row>
    <row r="33" spans="1:16" ht="21" customHeight="1" x14ac:dyDescent="0.3">
      <c r="A33" s="161"/>
      <c r="B33" s="137"/>
      <c r="C33" s="131"/>
      <c r="D33" s="131"/>
      <c r="E33" s="126"/>
      <c r="F33" s="126"/>
      <c r="G33" s="126"/>
      <c r="H33" s="126"/>
      <c r="I33" s="21" t="s">
        <v>327</v>
      </c>
      <c r="J33" s="21" t="s">
        <v>328</v>
      </c>
      <c r="K33" s="21" t="s">
        <v>329</v>
      </c>
      <c r="L33" s="21" t="s">
        <v>330</v>
      </c>
      <c r="M33" s="126"/>
      <c r="N33" s="126"/>
      <c r="O33" s="127"/>
    </row>
    <row r="34" spans="1:16" ht="30" customHeight="1" x14ac:dyDescent="0.35">
      <c r="A34" s="161"/>
      <c r="B34" s="137"/>
      <c r="C34" s="131"/>
      <c r="D34" s="131"/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27"/>
      <c r="P34" s="39"/>
    </row>
    <row r="35" spans="1:16" ht="32.25" customHeight="1" x14ac:dyDescent="0.3">
      <c r="A35" s="207" t="s">
        <v>19</v>
      </c>
      <c r="B35" s="137" t="s">
        <v>107</v>
      </c>
      <c r="C35" s="161" t="s">
        <v>67</v>
      </c>
      <c r="D35" s="38" t="s">
        <v>14</v>
      </c>
      <c r="E35" s="21">
        <f>E36+E37</f>
        <v>9978.75</v>
      </c>
      <c r="F35" s="21">
        <f t="shared" ref="F35:N35" si="1">F36+F37</f>
        <v>5378.75</v>
      </c>
      <c r="G35" s="21">
        <f t="shared" si="1"/>
        <v>2600</v>
      </c>
      <c r="H35" s="126">
        <f t="shared" si="1"/>
        <v>0</v>
      </c>
      <c r="I35" s="126"/>
      <c r="J35" s="126"/>
      <c r="K35" s="126"/>
      <c r="L35" s="126"/>
      <c r="M35" s="21">
        <f t="shared" si="1"/>
        <v>1000</v>
      </c>
      <c r="N35" s="21">
        <f t="shared" si="1"/>
        <v>1000</v>
      </c>
      <c r="O35" s="127" t="s">
        <v>57</v>
      </c>
    </row>
    <row r="36" spans="1:16" ht="39" customHeight="1" x14ac:dyDescent="0.3">
      <c r="A36" s="207"/>
      <c r="B36" s="137"/>
      <c r="C36" s="161"/>
      <c r="D36" s="38" t="s">
        <v>10</v>
      </c>
      <c r="E36" s="21">
        <f>SUM(F36:N36)</f>
        <v>0</v>
      </c>
      <c r="F36" s="21">
        <v>0</v>
      </c>
      <c r="G36" s="21">
        <v>0</v>
      </c>
      <c r="H36" s="126">
        <v>0</v>
      </c>
      <c r="I36" s="126"/>
      <c r="J36" s="126"/>
      <c r="K36" s="126"/>
      <c r="L36" s="126"/>
      <c r="M36" s="21">
        <v>0</v>
      </c>
      <c r="N36" s="21">
        <v>0</v>
      </c>
      <c r="O36" s="127"/>
    </row>
    <row r="37" spans="1:16" ht="39" customHeight="1" x14ac:dyDescent="0.3">
      <c r="A37" s="207"/>
      <c r="B37" s="137"/>
      <c r="C37" s="161"/>
      <c r="D37" s="38" t="s">
        <v>11</v>
      </c>
      <c r="E37" s="21">
        <f>F37+G37+H37+M37+N37</f>
        <v>9978.75</v>
      </c>
      <c r="F37" s="21">
        <v>5378.75</v>
      </c>
      <c r="G37" s="21">
        <v>2600</v>
      </c>
      <c r="H37" s="126">
        <v>0</v>
      </c>
      <c r="I37" s="126"/>
      <c r="J37" s="126"/>
      <c r="K37" s="126"/>
      <c r="L37" s="126"/>
      <c r="M37" s="21">
        <v>1000</v>
      </c>
      <c r="N37" s="21">
        <v>1000</v>
      </c>
      <c r="O37" s="127"/>
    </row>
    <row r="38" spans="1:16" ht="28.5" customHeight="1" x14ac:dyDescent="0.3">
      <c r="A38" s="207"/>
      <c r="B38" s="137" t="s">
        <v>280</v>
      </c>
      <c r="C38" s="131" t="s">
        <v>101</v>
      </c>
      <c r="D38" s="131" t="s">
        <v>101</v>
      </c>
      <c r="E38" s="126" t="s">
        <v>102</v>
      </c>
      <c r="F38" s="126" t="s">
        <v>103</v>
      </c>
      <c r="G38" s="132" t="s">
        <v>501</v>
      </c>
      <c r="H38" s="132" t="s">
        <v>500</v>
      </c>
      <c r="I38" s="126" t="s">
        <v>332</v>
      </c>
      <c r="J38" s="126"/>
      <c r="K38" s="126"/>
      <c r="L38" s="126"/>
      <c r="M38" s="126" t="s">
        <v>105</v>
      </c>
      <c r="N38" s="126" t="s">
        <v>106</v>
      </c>
      <c r="O38" s="127"/>
    </row>
    <row r="39" spans="1:16" ht="24" customHeight="1" x14ac:dyDescent="0.3">
      <c r="A39" s="207"/>
      <c r="B39" s="137"/>
      <c r="C39" s="131"/>
      <c r="D39" s="131"/>
      <c r="E39" s="126"/>
      <c r="F39" s="126"/>
      <c r="G39" s="126"/>
      <c r="H39" s="126"/>
      <c r="I39" s="21" t="s">
        <v>327</v>
      </c>
      <c r="J39" s="21" t="s">
        <v>328</v>
      </c>
      <c r="K39" s="21" t="s">
        <v>329</v>
      </c>
      <c r="L39" s="21" t="s">
        <v>330</v>
      </c>
      <c r="M39" s="126"/>
      <c r="N39" s="126"/>
      <c r="O39" s="127"/>
    </row>
    <row r="40" spans="1:16" ht="35.25" customHeight="1" x14ac:dyDescent="0.3">
      <c r="A40" s="207"/>
      <c r="B40" s="137"/>
      <c r="C40" s="131"/>
      <c r="D40" s="131"/>
      <c r="E40" s="14">
        <f>F40+G40+H40+M40+N40</f>
        <v>273</v>
      </c>
      <c r="F40" s="14">
        <v>181</v>
      </c>
      <c r="G40" s="14">
        <v>52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20</v>
      </c>
      <c r="N40" s="14">
        <v>20</v>
      </c>
      <c r="O40" s="127"/>
    </row>
    <row r="41" spans="1:16" ht="36.75" customHeight="1" x14ac:dyDescent="0.3">
      <c r="A41" s="186"/>
      <c r="B41" s="181" t="s">
        <v>307</v>
      </c>
      <c r="C41" s="162"/>
      <c r="D41" s="40" t="s">
        <v>308</v>
      </c>
      <c r="E41" s="15">
        <f>SUM(E42:E45)</f>
        <v>2718548.094</v>
      </c>
      <c r="F41" s="15">
        <f t="shared" ref="F41:M41" si="2">SUM(F42:F45)</f>
        <v>8310.3119999999999</v>
      </c>
      <c r="G41" s="41">
        <f t="shared" si="2"/>
        <v>50220.451999999997</v>
      </c>
      <c r="H41" s="156">
        <f t="shared" si="2"/>
        <v>143366.62</v>
      </c>
      <c r="I41" s="157"/>
      <c r="J41" s="157"/>
      <c r="K41" s="157"/>
      <c r="L41" s="158"/>
      <c r="M41" s="15">
        <f t="shared" si="2"/>
        <v>839150.37</v>
      </c>
      <c r="N41" s="15">
        <f>SUM(N42:N45)</f>
        <v>1677500.34</v>
      </c>
      <c r="O41" s="161"/>
    </row>
    <row r="42" spans="1:16" ht="26.25" customHeight="1" x14ac:dyDescent="0.3">
      <c r="A42" s="186"/>
      <c r="B42" s="181"/>
      <c r="C42" s="162"/>
      <c r="D42" s="42" t="s">
        <v>9</v>
      </c>
      <c r="E42" s="15">
        <f>F42+G42+H42+M42+N42</f>
        <v>0</v>
      </c>
      <c r="F42" s="15">
        <v>0</v>
      </c>
      <c r="G42" s="41">
        <v>0</v>
      </c>
      <c r="H42" s="156">
        <v>0</v>
      </c>
      <c r="I42" s="157"/>
      <c r="J42" s="157"/>
      <c r="K42" s="157"/>
      <c r="L42" s="158"/>
      <c r="M42" s="15">
        <v>0</v>
      </c>
      <c r="N42" s="15">
        <v>0</v>
      </c>
      <c r="O42" s="161"/>
    </row>
    <row r="43" spans="1:16" ht="39" customHeight="1" x14ac:dyDescent="0.3">
      <c r="A43" s="186"/>
      <c r="B43" s="181"/>
      <c r="C43" s="162"/>
      <c r="D43" s="40" t="s">
        <v>10</v>
      </c>
      <c r="E43" s="15">
        <f>F43+G43+H43+M43+N43</f>
        <v>1792461.1400000001</v>
      </c>
      <c r="F43" s="15">
        <f t="shared" ref="F43:H44" si="3">F13</f>
        <v>600.49</v>
      </c>
      <c r="G43" s="41">
        <f t="shared" si="3"/>
        <v>25350</v>
      </c>
      <c r="H43" s="156">
        <f t="shared" si="3"/>
        <v>90637.01</v>
      </c>
      <c r="I43" s="157"/>
      <c r="J43" s="157"/>
      <c r="K43" s="157"/>
      <c r="L43" s="158"/>
      <c r="M43" s="15">
        <f>M13</f>
        <v>642470.46</v>
      </c>
      <c r="N43" s="15">
        <f>N13</f>
        <v>1033403.1800000002</v>
      </c>
      <c r="O43" s="161"/>
    </row>
    <row r="44" spans="1:16" ht="39" customHeight="1" x14ac:dyDescent="0.3">
      <c r="A44" s="186"/>
      <c r="B44" s="181"/>
      <c r="C44" s="162"/>
      <c r="D44" s="40" t="s">
        <v>18</v>
      </c>
      <c r="E44" s="15">
        <f>F44+G44+H44+M44+N44</f>
        <v>926086.95399999991</v>
      </c>
      <c r="F44" s="15">
        <f t="shared" si="3"/>
        <v>7709.8220000000001</v>
      </c>
      <c r="G44" s="41">
        <f t="shared" si="3"/>
        <v>24870.451999999997</v>
      </c>
      <c r="H44" s="156">
        <f t="shared" si="3"/>
        <v>52729.61</v>
      </c>
      <c r="I44" s="157"/>
      <c r="J44" s="157"/>
      <c r="K44" s="157"/>
      <c r="L44" s="158"/>
      <c r="M44" s="15">
        <f>M14</f>
        <v>196679.91</v>
      </c>
      <c r="N44" s="15">
        <f>N14</f>
        <v>644097.15999999992</v>
      </c>
      <c r="O44" s="161"/>
    </row>
    <row r="45" spans="1:16" ht="39" customHeight="1" x14ac:dyDescent="0.3">
      <c r="A45" s="186"/>
      <c r="B45" s="181"/>
      <c r="C45" s="162"/>
      <c r="D45" s="40" t="s">
        <v>15</v>
      </c>
      <c r="E45" s="15">
        <f>F45+G45+H45+M45+N45</f>
        <v>0</v>
      </c>
      <c r="F45" s="15">
        <v>0</v>
      </c>
      <c r="G45" s="41">
        <v>0</v>
      </c>
      <c r="H45" s="156">
        <v>0</v>
      </c>
      <c r="I45" s="157"/>
      <c r="J45" s="157"/>
      <c r="K45" s="157"/>
      <c r="L45" s="158"/>
      <c r="M45" s="15">
        <v>0</v>
      </c>
      <c r="N45" s="15">
        <v>0</v>
      </c>
      <c r="O45" s="161"/>
    </row>
    <row r="46" spans="1:16" ht="33" customHeight="1" x14ac:dyDescent="0.3">
      <c r="A46" s="43"/>
      <c r="B46" s="138" t="s">
        <v>132</v>
      </c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</row>
    <row r="47" spans="1:16" ht="31.5" customHeight="1" x14ac:dyDescent="0.3">
      <c r="A47" s="161" t="s">
        <v>6</v>
      </c>
      <c r="B47" s="137" t="s">
        <v>20</v>
      </c>
      <c r="C47" s="127" t="s">
        <v>67</v>
      </c>
      <c r="D47" s="38" t="s">
        <v>8</v>
      </c>
      <c r="E47" s="21">
        <f>E50+E49+E48</f>
        <v>8862030.9919999987</v>
      </c>
      <c r="F47" s="21">
        <f>F50+F49+F48</f>
        <v>558204.43200000003</v>
      </c>
      <c r="G47" s="26">
        <f>G50+G49+G48</f>
        <v>1637019.81</v>
      </c>
      <c r="H47" s="133">
        <f>H50+H49+H48</f>
        <v>499432.76000000007</v>
      </c>
      <c r="I47" s="134"/>
      <c r="J47" s="134"/>
      <c r="K47" s="134"/>
      <c r="L47" s="135"/>
      <c r="M47" s="21">
        <f>M50+M49+M48</f>
        <v>4481048.76</v>
      </c>
      <c r="N47" s="21">
        <f t="shared" ref="N47" si="4">N50+N49+N48</f>
        <v>1686325.23</v>
      </c>
      <c r="O47" s="127" t="s">
        <v>17</v>
      </c>
    </row>
    <row r="48" spans="1:16" ht="33.75" customHeight="1" x14ac:dyDescent="0.3">
      <c r="A48" s="161"/>
      <c r="B48" s="137"/>
      <c r="C48" s="127"/>
      <c r="D48" s="38" t="s">
        <v>9</v>
      </c>
      <c r="E48" s="21">
        <f>F48+G48+H48+M48+N48</f>
        <v>512943.8</v>
      </c>
      <c r="F48" s="21">
        <f t="shared" ref="F48" si="5">F66</f>
        <v>200000</v>
      </c>
      <c r="G48" s="26">
        <f>G66</f>
        <v>312943.8</v>
      </c>
      <c r="H48" s="133">
        <f t="shared" ref="H48:N48" si="6">H66</f>
        <v>0</v>
      </c>
      <c r="I48" s="134"/>
      <c r="J48" s="134"/>
      <c r="K48" s="134"/>
      <c r="L48" s="135"/>
      <c r="M48" s="21">
        <f t="shared" si="6"/>
        <v>0</v>
      </c>
      <c r="N48" s="21">
        <f t="shared" si="6"/>
        <v>0</v>
      </c>
      <c r="O48" s="127"/>
    </row>
    <row r="49" spans="1:15" ht="33.75" customHeight="1" x14ac:dyDescent="0.3">
      <c r="A49" s="161"/>
      <c r="B49" s="137"/>
      <c r="C49" s="127"/>
      <c r="D49" s="38" t="s">
        <v>10</v>
      </c>
      <c r="E49" s="21">
        <f>F49+G49+H49+M49+N49</f>
        <v>7573457.8699999992</v>
      </c>
      <c r="F49" s="21">
        <f>F52+F67</f>
        <v>308122.03999999998</v>
      </c>
      <c r="G49" s="26">
        <f>G52+G67</f>
        <v>1140293.96</v>
      </c>
      <c r="H49" s="133">
        <f>H52+H67</f>
        <v>471464.51000000007</v>
      </c>
      <c r="I49" s="134"/>
      <c r="J49" s="134"/>
      <c r="K49" s="134"/>
      <c r="L49" s="135"/>
      <c r="M49" s="21">
        <f>M52+M67+M58</f>
        <v>4013462.3</v>
      </c>
      <c r="N49" s="21">
        <f>N52+N67</f>
        <v>1640115.06</v>
      </c>
      <c r="O49" s="127"/>
    </row>
    <row r="50" spans="1:15" ht="43.5" customHeight="1" x14ac:dyDescent="0.3">
      <c r="A50" s="161"/>
      <c r="B50" s="137"/>
      <c r="C50" s="127"/>
      <c r="D50" s="38" t="s">
        <v>11</v>
      </c>
      <c r="E50" s="21">
        <f>F50+G50+H50+M50+N50</f>
        <v>775629.32200000004</v>
      </c>
      <c r="F50" s="21">
        <f>+F53+F59+F68</f>
        <v>50082.392</v>
      </c>
      <c r="G50" s="26">
        <f>+G53+G59+G68</f>
        <v>183782.05000000002</v>
      </c>
      <c r="H50" s="133">
        <f>+H53+H59+H68+H64</f>
        <v>27968.25</v>
      </c>
      <c r="I50" s="134"/>
      <c r="J50" s="134"/>
      <c r="K50" s="134"/>
      <c r="L50" s="135"/>
      <c r="M50" s="21">
        <f>+M53+M59+M68+M64</f>
        <v>467586.45999999996</v>
      </c>
      <c r="N50" s="21">
        <f>+N53+N59</f>
        <v>46210.17</v>
      </c>
      <c r="O50" s="205"/>
    </row>
    <row r="51" spans="1:15" ht="27" customHeight="1" x14ac:dyDescent="0.3">
      <c r="A51" s="206" t="s">
        <v>13</v>
      </c>
      <c r="B51" s="137" t="s">
        <v>72</v>
      </c>
      <c r="C51" s="127" t="s">
        <v>67</v>
      </c>
      <c r="D51" s="38" t="s">
        <v>8</v>
      </c>
      <c r="E51" s="21">
        <f>'Строительство и реконструкция'!K115</f>
        <v>4479027.892</v>
      </c>
      <c r="F51" s="21">
        <f>F52+F53</f>
        <v>197454.06199999998</v>
      </c>
      <c r="G51" s="25">
        <f>G52+G53</f>
        <v>169102.88</v>
      </c>
      <c r="H51" s="141">
        <f t="shared" ref="H51:N51" si="7">H52+H53</f>
        <v>0</v>
      </c>
      <c r="I51" s="142"/>
      <c r="J51" s="142"/>
      <c r="K51" s="142"/>
      <c r="L51" s="143"/>
      <c r="M51" s="24">
        <f>'Строительство и реконструкция'!O115</f>
        <v>2426145.7199999997</v>
      </c>
      <c r="N51" s="24">
        <f t="shared" si="7"/>
        <v>1686325.23</v>
      </c>
      <c r="O51" s="127" t="s">
        <v>265</v>
      </c>
    </row>
    <row r="52" spans="1:15" ht="39" customHeight="1" x14ac:dyDescent="0.3">
      <c r="A52" s="206"/>
      <c r="B52" s="137"/>
      <c r="C52" s="127"/>
      <c r="D52" s="38" t="s">
        <v>10</v>
      </c>
      <c r="E52" s="21">
        <f>'Строительство и реконструкция'!K116</f>
        <v>3856138.5300000003</v>
      </c>
      <c r="F52" s="21">
        <f>'Строительство и реконструкция'!L116</f>
        <v>150979.18</v>
      </c>
      <c r="G52" s="26">
        <f>'Строительство и реконструкция'!M116</f>
        <v>0</v>
      </c>
      <c r="H52" s="133">
        <f>'Строительство и реконструкция'!N116</f>
        <v>0</v>
      </c>
      <c r="I52" s="134"/>
      <c r="J52" s="134"/>
      <c r="K52" s="134"/>
      <c r="L52" s="135"/>
      <c r="M52" s="24">
        <f>'Строительство и реконструкция'!O116</f>
        <v>2065044.29</v>
      </c>
      <c r="N52" s="21">
        <f>'Строительство и реконструкция'!P116</f>
        <v>1640115.06</v>
      </c>
      <c r="O52" s="127"/>
    </row>
    <row r="53" spans="1:15" ht="39.75" customHeight="1" x14ac:dyDescent="0.3">
      <c r="A53" s="206"/>
      <c r="B53" s="137"/>
      <c r="C53" s="127"/>
      <c r="D53" s="38" t="s">
        <v>11</v>
      </c>
      <c r="E53" s="21">
        <f>'Строительство и реконструкция'!K117</f>
        <v>622889.36199999996</v>
      </c>
      <c r="F53" s="21">
        <f>'Строительство и реконструкция'!L117</f>
        <v>46474.881999999998</v>
      </c>
      <c r="G53" s="26">
        <f>'Строительство и реконструкция'!M117</f>
        <v>169102.88</v>
      </c>
      <c r="H53" s="133">
        <f>'Строительство и реконструкция'!N117</f>
        <v>0</v>
      </c>
      <c r="I53" s="134"/>
      <c r="J53" s="134"/>
      <c r="K53" s="134"/>
      <c r="L53" s="135"/>
      <c r="M53" s="24">
        <f>'Строительство и реконструкция'!O117</f>
        <v>361101.43</v>
      </c>
      <c r="N53" s="21">
        <f>'Строительство и реконструкция'!P117</f>
        <v>46210.17</v>
      </c>
      <c r="O53" s="127"/>
    </row>
    <row r="54" spans="1:15" ht="28.5" customHeight="1" x14ac:dyDescent="0.3">
      <c r="A54" s="206"/>
      <c r="B54" s="137" t="s">
        <v>297</v>
      </c>
      <c r="C54" s="131" t="s">
        <v>101</v>
      </c>
      <c r="D54" s="131" t="s">
        <v>101</v>
      </c>
      <c r="E54" s="126" t="s">
        <v>102</v>
      </c>
      <c r="F54" s="126" t="s">
        <v>103</v>
      </c>
      <c r="G54" s="139" t="s">
        <v>501</v>
      </c>
      <c r="H54" s="132" t="s">
        <v>499</v>
      </c>
      <c r="I54" s="133" t="s">
        <v>332</v>
      </c>
      <c r="J54" s="134"/>
      <c r="K54" s="134"/>
      <c r="L54" s="135"/>
      <c r="M54" s="126" t="s">
        <v>105</v>
      </c>
      <c r="N54" s="126" t="s">
        <v>106</v>
      </c>
      <c r="O54" s="127"/>
    </row>
    <row r="55" spans="1:15" ht="24" customHeight="1" x14ac:dyDescent="0.3">
      <c r="A55" s="206"/>
      <c r="B55" s="137"/>
      <c r="C55" s="131"/>
      <c r="D55" s="131"/>
      <c r="E55" s="126"/>
      <c r="F55" s="126"/>
      <c r="G55" s="140"/>
      <c r="H55" s="126"/>
      <c r="I55" s="23" t="s">
        <v>327</v>
      </c>
      <c r="J55" s="23" t="s">
        <v>328</v>
      </c>
      <c r="K55" s="23" t="s">
        <v>329</v>
      </c>
      <c r="L55" s="23" t="s">
        <v>330</v>
      </c>
      <c r="M55" s="126"/>
      <c r="N55" s="126"/>
      <c r="O55" s="127"/>
    </row>
    <row r="56" spans="1:15" ht="35.25" customHeight="1" x14ac:dyDescent="0.3">
      <c r="A56" s="206"/>
      <c r="B56" s="137"/>
      <c r="C56" s="131"/>
      <c r="D56" s="131"/>
      <c r="E56" s="14">
        <f>F56+G56+H56+M56+N56</f>
        <v>2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2</v>
      </c>
      <c r="N56" s="14">
        <v>0</v>
      </c>
      <c r="O56" s="127"/>
    </row>
    <row r="57" spans="1:15" ht="35.25" customHeight="1" x14ac:dyDescent="0.3">
      <c r="A57" s="208" t="s">
        <v>16</v>
      </c>
      <c r="B57" s="128" t="s">
        <v>298</v>
      </c>
      <c r="C57" s="153" t="s">
        <v>67</v>
      </c>
      <c r="D57" s="38" t="s">
        <v>8</v>
      </c>
      <c r="E57" s="21">
        <f>E59+E58</f>
        <v>231200</v>
      </c>
      <c r="F57" s="21">
        <f t="shared" ref="F57:G57" si="8">F59</f>
        <v>0</v>
      </c>
      <c r="G57" s="21">
        <f t="shared" si="8"/>
        <v>0</v>
      </c>
      <c r="H57" s="133">
        <f>H59</f>
        <v>19200</v>
      </c>
      <c r="I57" s="134"/>
      <c r="J57" s="134"/>
      <c r="K57" s="134"/>
      <c r="L57" s="135"/>
      <c r="M57" s="21">
        <f>M59+M58</f>
        <v>212000</v>
      </c>
      <c r="N57" s="21">
        <f>N59</f>
        <v>0</v>
      </c>
      <c r="O57" s="153" t="s">
        <v>560</v>
      </c>
    </row>
    <row r="58" spans="1:15" ht="35.25" customHeight="1" x14ac:dyDescent="0.3">
      <c r="A58" s="209"/>
      <c r="B58" s="129"/>
      <c r="C58" s="154"/>
      <c r="D58" s="38" t="s">
        <v>10</v>
      </c>
      <c r="E58" s="21">
        <f>'Капитальный ремонт'!E18</f>
        <v>131864</v>
      </c>
      <c r="F58" s="21">
        <f>'Капитальный ремонт'!F18</f>
        <v>0</v>
      </c>
      <c r="G58" s="21">
        <f>'Капитальный ремонт'!G18</f>
        <v>0</v>
      </c>
      <c r="H58" s="133">
        <v>0</v>
      </c>
      <c r="I58" s="134"/>
      <c r="J58" s="134"/>
      <c r="K58" s="134"/>
      <c r="L58" s="135"/>
      <c r="M58" s="21">
        <f>'Капитальный ремонт'!I13</f>
        <v>131864</v>
      </c>
      <c r="N58" s="21">
        <v>0</v>
      </c>
      <c r="O58" s="154"/>
    </row>
    <row r="59" spans="1:15" ht="56.25" customHeight="1" x14ac:dyDescent="0.3">
      <c r="A59" s="209"/>
      <c r="B59" s="130"/>
      <c r="C59" s="155"/>
      <c r="D59" s="38" t="s">
        <v>11</v>
      </c>
      <c r="E59" s="21">
        <f>'Капитальный ремонт'!E14</f>
        <v>99336</v>
      </c>
      <c r="F59" s="21">
        <v>0</v>
      </c>
      <c r="G59" s="26">
        <v>0</v>
      </c>
      <c r="H59" s="133">
        <f>'Капитальный ремонт'!H16</f>
        <v>19200</v>
      </c>
      <c r="I59" s="134"/>
      <c r="J59" s="134"/>
      <c r="K59" s="134"/>
      <c r="L59" s="135"/>
      <c r="M59" s="21">
        <f>'Капитальный ремонт'!I14</f>
        <v>80136</v>
      </c>
      <c r="N59" s="21">
        <v>0</v>
      </c>
      <c r="O59" s="154"/>
    </row>
    <row r="60" spans="1:15" ht="28.5" customHeight="1" x14ac:dyDescent="0.3">
      <c r="A60" s="209"/>
      <c r="B60" s="137" t="s">
        <v>299</v>
      </c>
      <c r="C60" s="131" t="s">
        <v>101</v>
      </c>
      <c r="D60" s="131" t="s">
        <v>101</v>
      </c>
      <c r="E60" s="126" t="s">
        <v>102</v>
      </c>
      <c r="F60" s="126" t="s">
        <v>103</v>
      </c>
      <c r="G60" s="139" t="s">
        <v>501</v>
      </c>
      <c r="H60" s="132" t="s">
        <v>499</v>
      </c>
      <c r="I60" s="133" t="s">
        <v>332</v>
      </c>
      <c r="J60" s="134"/>
      <c r="K60" s="134"/>
      <c r="L60" s="135"/>
      <c r="M60" s="126" t="s">
        <v>105</v>
      </c>
      <c r="N60" s="126" t="s">
        <v>106</v>
      </c>
      <c r="O60" s="154"/>
    </row>
    <row r="61" spans="1:15" ht="24" customHeight="1" x14ac:dyDescent="0.3">
      <c r="A61" s="209"/>
      <c r="B61" s="137"/>
      <c r="C61" s="131"/>
      <c r="D61" s="131"/>
      <c r="E61" s="126"/>
      <c r="F61" s="126"/>
      <c r="G61" s="140"/>
      <c r="H61" s="126"/>
      <c r="I61" s="23" t="s">
        <v>327</v>
      </c>
      <c r="J61" s="23" t="s">
        <v>328</v>
      </c>
      <c r="K61" s="23" t="s">
        <v>329</v>
      </c>
      <c r="L61" s="23" t="s">
        <v>330</v>
      </c>
      <c r="M61" s="126"/>
      <c r="N61" s="126"/>
      <c r="O61" s="154"/>
    </row>
    <row r="62" spans="1:15" ht="35.25" customHeight="1" x14ac:dyDescent="0.3">
      <c r="A62" s="210"/>
      <c r="B62" s="137"/>
      <c r="C62" s="131"/>
      <c r="D62" s="131"/>
      <c r="E62" s="14">
        <v>2</v>
      </c>
      <c r="F62" s="14">
        <v>0</v>
      </c>
      <c r="G62" s="14">
        <v>0</v>
      </c>
      <c r="H62" s="14">
        <v>1</v>
      </c>
      <c r="I62" s="14">
        <v>0</v>
      </c>
      <c r="J62" s="14">
        <v>0</v>
      </c>
      <c r="K62" s="14">
        <v>0</v>
      </c>
      <c r="L62" s="14">
        <v>1</v>
      </c>
      <c r="M62" s="14">
        <v>1</v>
      </c>
      <c r="N62" s="14">
        <v>0</v>
      </c>
      <c r="O62" s="155"/>
    </row>
    <row r="63" spans="1:15" ht="35.25" customHeight="1" x14ac:dyDescent="0.3">
      <c r="A63" s="208" t="s">
        <v>22</v>
      </c>
      <c r="B63" s="128" t="s">
        <v>565</v>
      </c>
      <c r="C63" s="153" t="s">
        <v>67</v>
      </c>
      <c r="D63" s="38" t="s">
        <v>8</v>
      </c>
      <c r="E63" s="21">
        <f>E64</f>
        <v>12000</v>
      </c>
      <c r="F63" s="21">
        <f t="shared" ref="F63:G63" si="9">F64</f>
        <v>0</v>
      </c>
      <c r="G63" s="21">
        <f t="shared" si="9"/>
        <v>0</v>
      </c>
      <c r="H63" s="133">
        <f>H64</f>
        <v>4000</v>
      </c>
      <c r="I63" s="134"/>
      <c r="J63" s="134"/>
      <c r="K63" s="134"/>
      <c r="L63" s="135"/>
      <c r="M63" s="21">
        <f>M64</f>
        <v>8000</v>
      </c>
      <c r="N63" s="21">
        <f>N64</f>
        <v>0</v>
      </c>
      <c r="O63" s="153" t="s">
        <v>30</v>
      </c>
    </row>
    <row r="64" spans="1:15" ht="56.25" customHeight="1" x14ac:dyDescent="0.3">
      <c r="A64" s="210"/>
      <c r="B64" s="130"/>
      <c r="C64" s="155"/>
      <c r="D64" s="38" t="s">
        <v>11</v>
      </c>
      <c r="E64" s="21">
        <f>F64+G64+H64+M64+N64</f>
        <v>12000</v>
      </c>
      <c r="F64" s="21">
        <v>0</v>
      </c>
      <c r="G64" s="26">
        <v>0</v>
      </c>
      <c r="H64" s="133">
        <v>4000</v>
      </c>
      <c r="I64" s="134"/>
      <c r="J64" s="134"/>
      <c r="K64" s="134"/>
      <c r="L64" s="135"/>
      <c r="M64" s="21">
        <v>8000</v>
      </c>
      <c r="N64" s="21">
        <v>0</v>
      </c>
      <c r="O64" s="155"/>
    </row>
    <row r="65" spans="1:15" ht="35.25" customHeight="1" x14ac:dyDescent="0.3">
      <c r="A65" s="211" t="s">
        <v>591</v>
      </c>
      <c r="B65" s="137" t="s">
        <v>124</v>
      </c>
      <c r="C65" s="127" t="s">
        <v>67</v>
      </c>
      <c r="D65" s="38" t="s">
        <v>8</v>
      </c>
      <c r="E65" s="21">
        <f>'Строительство и реконструкция'!K123</f>
        <v>4139803.0999999996</v>
      </c>
      <c r="F65" s="21">
        <f>'Строительство и реконструкция'!L123</f>
        <v>360750.37</v>
      </c>
      <c r="G65" s="21">
        <f>'Строительство и реконструкция'!M123</f>
        <v>1467916.93</v>
      </c>
      <c r="H65" s="133">
        <f>'Строительство и реконструкция'!N119</f>
        <v>476232.76000000007</v>
      </c>
      <c r="I65" s="134"/>
      <c r="J65" s="134"/>
      <c r="K65" s="134"/>
      <c r="L65" s="135"/>
      <c r="M65" s="21">
        <f>'Строительство и реконструкция'!O119</f>
        <v>1834903.0399999998</v>
      </c>
      <c r="N65" s="21">
        <f>'Строительство и реконструкция'!P119</f>
        <v>0</v>
      </c>
      <c r="O65" s="127" t="s">
        <v>266</v>
      </c>
    </row>
    <row r="66" spans="1:15" ht="35.25" customHeight="1" x14ac:dyDescent="0.3">
      <c r="A66" s="212"/>
      <c r="B66" s="137"/>
      <c r="C66" s="127"/>
      <c r="D66" s="38" t="s">
        <v>9</v>
      </c>
      <c r="E66" s="21">
        <f>'Строительство и реконструкция'!K124</f>
        <v>512943.8</v>
      </c>
      <c r="F66" s="21">
        <f>'Строительство и реконструкция'!L124</f>
        <v>200000</v>
      </c>
      <c r="G66" s="21">
        <f>'Строительство и реконструкция'!M124</f>
        <v>312943.8</v>
      </c>
      <c r="H66" s="133">
        <f>'Строительство и реконструкция'!N120</f>
        <v>0</v>
      </c>
      <c r="I66" s="134"/>
      <c r="J66" s="134"/>
      <c r="K66" s="134"/>
      <c r="L66" s="135"/>
      <c r="M66" s="21">
        <f>'Строительство и реконструкция'!O120</f>
        <v>0</v>
      </c>
      <c r="N66" s="21">
        <f>'Строительство и реконструкция'!P120</f>
        <v>0</v>
      </c>
      <c r="O66" s="127"/>
    </row>
    <row r="67" spans="1:15" ht="35.25" customHeight="1" x14ac:dyDescent="0.3">
      <c r="A67" s="212"/>
      <c r="B67" s="137"/>
      <c r="C67" s="127"/>
      <c r="D67" s="38" t="s">
        <v>10</v>
      </c>
      <c r="E67" s="21">
        <f>'Строительство и реконструкция'!K125</f>
        <v>3585455.34</v>
      </c>
      <c r="F67" s="21">
        <f>'Строительство и реконструкция'!L125</f>
        <v>157142.85999999999</v>
      </c>
      <c r="G67" s="21">
        <f>'Строительство и реконструкция'!M125</f>
        <v>1140293.96</v>
      </c>
      <c r="H67" s="133">
        <f>'Строительство и реконструкция'!N121</f>
        <v>471464.51000000007</v>
      </c>
      <c r="I67" s="134"/>
      <c r="J67" s="134"/>
      <c r="K67" s="134"/>
      <c r="L67" s="135"/>
      <c r="M67" s="21">
        <f>'Строительство и реконструкция'!O121</f>
        <v>1816554.0099999998</v>
      </c>
      <c r="N67" s="21">
        <f>'Строительство и реконструкция'!P121</f>
        <v>0</v>
      </c>
      <c r="O67" s="127"/>
    </row>
    <row r="68" spans="1:15" ht="51.75" customHeight="1" x14ac:dyDescent="0.3">
      <c r="A68" s="212"/>
      <c r="B68" s="137"/>
      <c r="C68" s="127"/>
      <c r="D68" s="38" t="s">
        <v>11</v>
      </c>
      <c r="E68" s="21">
        <f>'Строительство и реконструкция'!K126</f>
        <v>41403.96</v>
      </c>
      <c r="F68" s="21">
        <f>'Строительство и реконструкция'!L126</f>
        <v>3607.51</v>
      </c>
      <c r="G68" s="21">
        <f>'Строительство и реконструкция'!M126</f>
        <v>14679.17</v>
      </c>
      <c r="H68" s="133">
        <f>'Строительство и реконструкция'!N122</f>
        <v>4768.25</v>
      </c>
      <c r="I68" s="134"/>
      <c r="J68" s="134"/>
      <c r="K68" s="134"/>
      <c r="L68" s="135"/>
      <c r="M68" s="21">
        <f>'Строительство и реконструкция'!O122</f>
        <v>18349.03</v>
      </c>
      <c r="N68" s="21">
        <f>'Строительство и реконструкция'!P122</f>
        <v>0</v>
      </c>
      <c r="O68" s="127"/>
    </row>
    <row r="69" spans="1:15" ht="18.75" customHeight="1" x14ac:dyDescent="0.3">
      <c r="A69" s="212"/>
      <c r="B69" s="137" t="s">
        <v>300</v>
      </c>
      <c r="C69" s="131" t="s">
        <v>101</v>
      </c>
      <c r="D69" s="131" t="s">
        <v>101</v>
      </c>
      <c r="E69" s="126" t="s">
        <v>102</v>
      </c>
      <c r="F69" s="126" t="s">
        <v>103</v>
      </c>
      <c r="G69" s="139" t="s">
        <v>501</v>
      </c>
      <c r="H69" s="132" t="s">
        <v>499</v>
      </c>
      <c r="I69" s="133" t="s">
        <v>332</v>
      </c>
      <c r="J69" s="134"/>
      <c r="K69" s="134"/>
      <c r="L69" s="135"/>
      <c r="M69" s="126" t="s">
        <v>105</v>
      </c>
      <c r="N69" s="126" t="s">
        <v>106</v>
      </c>
      <c r="O69" s="127"/>
    </row>
    <row r="70" spans="1:15" ht="19.5" customHeight="1" x14ac:dyDescent="0.3">
      <c r="A70" s="212"/>
      <c r="B70" s="137"/>
      <c r="C70" s="131"/>
      <c r="D70" s="131"/>
      <c r="E70" s="126"/>
      <c r="F70" s="126"/>
      <c r="G70" s="140"/>
      <c r="H70" s="126"/>
      <c r="I70" s="23" t="s">
        <v>327</v>
      </c>
      <c r="J70" s="23" t="s">
        <v>328</v>
      </c>
      <c r="K70" s="23" t="s">
        <v>329</v>
      </c>
      <c r="L70" s="23" t="s">
        <v>330</v>
      </c>
      <c r="M70" s="126"/>
      <c r="N70" s="126"/>
      <c r="O70" s="127"/>
    </row>
    <row r="71" spans="1:15" ht="33" customHeight="1" x14ac:dyDescent="0.3">
      <c r="A71" s="213"/>
      <c r="B71" s="137"/>
      <c r="C71" s="131"/>
      <c r="D71" s="131"/>
      <c r="E71" s="14">
        <v>1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1</v>
      </c>
      <c r="N71" s="14">
        <v>0</v>
      </c>
      <c r="O71" s="127"/>
    </row>
    <row r="72" spans="1:15" ht="35.25" customHeight="1" x14ac:dyDescent="0.3">
      <c r="A72" s="161" t="s">
        <v>23</v>
      </c>
      <c r="B72" s="137" t="s">
        <v>24</v>
      </c>
      <c r="C72" s="161" t="s">
        <v>67</v>
      </c>
      <c r="D72" s="38" t="s">
        <v>8</v>
      </c>
      <c r="E72" s="21">
        <f t="shared" ref="E72:N72" si="10">SUM(E73:E75)</f>
        <v>100855.2</v>
      </c>
      <c r="F72" s="21">
        <f t="shared" si="10"/>
        <v>0</v>
      </c>
      <c r="G72" s="26">
        <f t="shared" si="10"/>
        <v>0</v>
      </c>
      <c r="H72" s="133">
        <f t="shared" si="10"/>
        <v>0</v>
      </c>
      <c r="I72" s="134"/>
      <c r="J72" s="134"/>
      <c r="K72" s="134"/>
      <c r="L72" s="135"/>
      <c r="M72" s="21">
        <f t="shared" si="10"/>
        <v>59000</v>
      </c>
      <c r="N72" s="21">
        <f t="shared" si="10"/>
        <v>41855.199999999997</v>
      </c>
      <c r="O72" s="127"/>
    </row>
    <row r="73" spans="1:15" ht="45" customHeight="1" x14ac:dyDescent="0.3">
      <c r="A73" s="161"/>
      <c r="B73" s="137"/>
      <c r="C73" s="161"/>
      <c r="D73" s="38" t="s">
        <v>10</v>
      </c>
      <c r="E73" s="21">
        <f>SUM(F73:N73)</f>
        <v>73108</v>
      </c>
      <c r="F73" s="21">
        <f>F77+F83</f>
        <v>0</v>
      </c>
      <c r="G73" s="26">
        <f t="shared" ref="G73:N74" si="11">G77+G83</f>
        <v>0</v>
      </c>
      <c r="H73" s="133">
        <f t="shared" si="11"/>
        <v>0</v>
      </c>
      <c r="I73" s="134"/>
      <c r="J73" s="134"/>
      <c r="K73" s="134"/>
      <c r="L73" s="135"/>
      <c r="M73" s="21">
        <f t="shared" si="11"/>
        <v>36108</v>
      </c>
      <c r="N73" s="21">
        <f t="shared" si="11"/>
        <v>37000</v>
      </c>
      <c r="O73" s="127"/>
    </row>
    <row r="74" spans="1:15" ht="45" customHeight="1" x14ac:dyDescent="0.3">
      <c r="A74" s="161"/>
      <c r="B74" s="137"/>
      <c r="C74" s="161"/>
      <c r="D74" s="38" t="s">
        <v>18</v>
      </c>
      <c r="E74" s="21">
        <f>SUM(F74:N74)</f>
        <v>27747.200000000001</v>
      </c>
      <c r="F74" s="21">
        <f>F78+F84</f>
        <v>0</v>
      </c>
      <c r="G74" s="26">
        <f t="shared" si="11"/>
        <v>0</v>
      </c>
      <c r="H74" s="133">
        <f t="shared" si="11"/>
        <v>0</v>
      </c>
      <c r="I74" s="134"/>
      <c r="J74" s="134"/>
      <c r="K74" s="134"/>
      <c r="L74" s="135"/>
      <c r="M74" s="21">
        <f t="shared" si="11"/>
        <v>22892</v>
      </c>
      <c r="N74" s="21">
        <f t="shared" si="11"/>
        <v>4855.2</v>
      </c>
      <c r="O74" s="127"/>
    </row>
    <row r="75" spans="1:15" ht="29.25" customHeight="1" x14ac:dyDescent="0.3">
      <c r="A75" s="161"/>
      <c r="B75" s="137"/>
      <c r="C75" s="161"/>
      <c r="D75" s="38" t="s">
        <v>15</v>
      </c>
      <c r="E75" s="21">
        <v>0</v>
      </c>
      <c r="F75" s="21">
        <v>0</v>
      </c>
      <c r="G75" s="26">
        <v>0</v>
      </c>
      <c r="H75" s="133">
        <v>0</v>
      </c>
      <c r="I75" s="134"/>
      <c r="J75" s="134"/>
      <c r="K75" s="134"/>
      <c r="L75" s="135"/>
      <c r="M75" s="21">
        <v>0</v>
      </c>
      <c r="N75" s="21">
        <v>0</v>
      </c>
      <c r="O75" s="127"/>
    </row>
    <row r="76" spans="1:15" ht="31.5" customHeight="1" x14ac:dyDescent="0.3">
      <c r="A76" s="161" t="s">
        <v>25</v>
      </c>
      <c r="B76" s="137" t="s">
        <v>73</v>
      </c>
      <c r="C76" s="161" t="s">
        <v>67</v>
      </c>
      <c r="D76" s="38" t="s">
        <v>8</v>
      </c>
      <c r="E76" s="21">
        <f>'Строительство и реконструкция'!K131</f>
        <v>100855.2</v>
      </c>
      <c r="F76" s="21">
        <f>'Строительство и реконструкция'!L131</f>
        <v>0</v>
      </c>
      <c r="G76" s="21">
        <f>'Строительство и реконструкция'!M131</f>
        <v>0</v>
      </c>
      <c r="H76" s="133">
        <f>'Строительство и реконструкция'!N131</f>
        <v>0</v>
      </c>
      <c r="I76" s="134"/>
      <c r="J76" s="134"/>
      <c r="K76" s="134"/>
      <c r="L76" s="135"/>
      <c r="M76" s="21">
        <f>'Строительство и реконструкция'!O131</f>
        <v>59000</v>
      </c>
      <c r="N76" s="21">
        <f>'Строительство и реконструкция'!P131</f>
        <v>41855.199999999997</v>
      </c>
      <c r="O76" s="127" t="s">
        <v>266</v>
      </c>
    </row>
    <row r="77" spans="1:15" ht="40.5" customHeight="1" x14ac:dyDescent="0.3">
      <c r="A77" s="161"/>
      <c r="B77" s="137"/>
      <c r="C77" s="161"/>
      <c r="D77" s="38" t="s">
        <v>10</v>
      </c>
      <c r="E77" s="21">
        <f>'Строительство и реконструкция'!K132</f>
        <v>73108</v>
      </c>
      <c r="F77" s="21">
        <f>'Строительство и реконструкция'!L132</f>
        <v>0</v>
      </c>
      <c r="G77" s="21">
        <f>'Строительство и реконструкция'!M132</f>
        <v>0</v>
      </c>
      <c r="H77" s="133">
        <f>'Строительство и реконструкция'!N132</f>
        <v>0</v>
      </c>
      <c r="I77" s="134"/>
      <c r="J77" s="134"/>
      <c r="K77" s="134"/>
      <c r="L77" s="135"/>
      <c r="M77" s="21">
        <f>'Строительство и реконструкция'!O132</f>
        <v>36108</v>
      </c>
      <c r="N77" s="21">
        <f>'Строительство и реконструкция'!P132</f>
        <v>37000</v>
      </c>
      <c r="O77" s="127"/>
    </row>
    <row r="78" spans="1:15" ht="36.75" customHeight="1" x14ac:dyDescent="0.3">
      <c r="A78" s="161"/>
      <c r="B78" s="137"/>
      <c r="C78" s="161"/>
      <c r="D78" s="38" t="s">
        <v>18</v>
      </c>
      <c r="E78" s="21">
        <f>'Строительство и реконструкция'!K133</f>
        <v>27747.200000000001</v>
      </c>
      <c r="F78" s="21">
        <f>'Строительство и реконструкция'!L133</f>
        <v>0</v>
      </c>
      <c r="G78" s="21">
        <f>'Строительство и реконструкция'!M133</f>
        <v>0</v>
      </c>
      <c r="H78" s="133">
        <f>'Строительство и реконструкция'!N133</f>
        <v>0</v>
      </c>
      <c r="I78" s="134"/>
      <c r="J78" s="134"/>
      <c r="K78" s="134"/>
      <c r="L78" s="135"/>
      <c r="M78" s="21">
        <f>'Строительство и реконструкция'!O133</f>
        <v>22892</v>
      </c>
      <c r="N78" s="21">
        <f>'Строительство и реконструкция'!P133</f>
        <v>4855.2</v>
      </c>
      <c r="O78" s="127"/>
    </row>
    <row r="79" spans="1:15" ht="28.5" customHeight="1" x14ac:dyDescent="0.3">
      <c r="A79" s="161"/>
      <c r="B79" s="137" t="s">
        <v>326</v>
      </c>
      <c r="C79" s="131" t="s">
        <v>101</v>
      </c>
      <c r="D79" s="131" t="s">
        <v>101</v>
      </c>
      <c r="E79" s="126" t="s">
        <v>102</v>
      </c>
      <c r="F79" s="126" t="s">
        <v>103</v>
      </c>
      <c r="G79" s="139" t="s">
        <v>501</v>
      </c>
      <c r="H79" s="132" t="s">
        <v>499</v>
      </c>
      <c r="I79" s="133" t="s">
        <v>332</v>
      </c>
      <c r="J79" s="134"/>
      <c r="K79" s="134"/>
      <c r="L79" s="135"/>
      <c r="M79" s="126" t="s">
        <v>105</v>
      </c>
      <c r="N79" s="126" t="s">
        <v>106</v>
      </c>
      <c r="O79" s="127"/>
    </row>
    <row r="80" spans="1:15" ht="24" customHeight="1" x14ac:dyDescent="0.3">
      <c r="A80" s="161"/>
      <c r="B80" s="137"/>
      <c r="C80" s="131"/>
      <c r="D80" s="131"/>
      <c r="E80" s="126"/>
      <c r="F80" s="126"/>
      <c r="G80" s="140"/>
      <c r="H80" s="126"/>
      <c r="I80" s="23" t="s">
        <v>327</v>
      </c>
      <c r="J80" s="23" t="s">
        <v>328</v>
      </c>
      <c r="K80" s="23" t="s">
        <v>329</v>
      </c>
      <c r="L80" s="23" t="s">
        <v>330</v>
      </c>
      <c r="M80" s="126"/>
      <c r="N80" s="126"/>
      <c r="O80" s="127"/>
    </row>
    <row r="81" spans="1:15" ht="27.75" customHeight="1" x14ac:dyDescent="0.3">
      <c r="A81" s="161"/>
      <c r="B81" s="137"/>
      <c r="C81" s="131"/>
      <c r="D81" s="131"/>
      <c r="E81" s="14">
        <f>G81+F81+H81+M81+N81</f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27"/>
    </row>
    <row r="82" spans="1:15" ht="30" customHeight="1" x14ac:dyDescent="0.3">
      <c r="A82" s="161" t="s">
        <v>26</v>
      </c>
      <c r="B82" s="137" t="s">
        <v>303</v>
      </c>
      <c r="C82" s="161" t="s">
        <v>67</v>
      </c>
      <c r="D82" s="38" t="s">
        <v>8</v>
      </c>
      <c r="E82" s="21">
        <f>F82+G82+H82+M82+N82</f>
        <v>0</v>
      </c>
      <c r="F82" s="21">
        <f>F83+F84</f>
        <v>0</v>
      </c>
      <c r="G82" s="21">
        <f>G83+G84</f>
        <v>0</v>
      </c>
      <c r="H82" s="133">
        <f>H83+H84</f>
        <v>0</v>
      </c>
      <c r="I82" s="134"/>
      <c r="J82" s="134"/>
      <c r="K82" s="134"/>
      <c r="L82" s="135"/>
      <c r="M82" s="21">
        <f>M83+M84</f>
        <v>0</v>
      </c>
      <c r="N82" s="21">
        <f>N83+N84</f>
        <v>0</v>
      </c>
      <c r="O82" s="127" t="s">
        <v>17</v>
      </c>
    </row>
    <row r="83" spans="1:15" ht="39" customHeight="1" x14ac:dyDescent="0.3">
      <c r="A83" s="161"/>
      <c r="B83" s="137"/>
      <c r="C83" s="161"/>
      <c r="D83" s="38" t="s">
        <v>10</v>
      </c>
      <c r="E83" s="21">
        <f>F83+G83+H83+M83+N83</f>
        <v>0</v>
      </c>
      <c r="F83" s="21">
        <v>0</v>
      </c>
      <c r="G83" s="21">
        <v>0</v>
      </c>
      <c r="H83" s="133">
        <v>0</v>
      </c>
      <c r="I83" s="134"/>
      <c r="J83" s="134"/>
      <c r="K83" s="134"/>
      <c r="L83" s="135"/>
      <c r="M83" s="21">
        <v>0</v>
      </c>
      <c r="N83" s="21">
        <v>0</v>
      </c>
      <c r="O83" s="127"/>
    </row>
    <row r="84" spans="1:15" ht="39" customHeight="1" x14ac:dyDescent="0.3">
      <c r="A84" s="161"/>
      <c r="B84" s="137"/>
      <c r="C84" s="161"/>
      <c r="D84" s="38" t="s">
        <v>11</v>
      </c>
      <c r="E84" s="21">
        <f>F84+G84+H84+M84+N84</f>
        <v>0</v>
      </c>
      <c r="F84" s="21">
        <v>0</v>
      </c>
      <c r="G84" s="21">
        <v>0</v>
      </c>
      <c r="H84" s="133">
        <v>0</v>
      </c>
      <c r="I84" s="134"/>
      <c r="J84" s="134"/>
      <c r="K84" s="134"/>
      <c r="L84" s="135"/>
      <c r="M84" s="21">
        <v>0</v>
      </c>
      <c r="N84" s="21">
        <v>0</v>
      </c>
      <c r="O84" s="127"/>
    </row>
    <row r="85" spans="1:15" ht="43.5" customHeight="1" x14ac:dyDescent="0.3">
      <c r="A85" s="161"/>
      <c r="B85" s="137"/>
      <c r="C85" s="161"/>
      <c r="D85" s="38" t="s">
        <v>12</v>
      </c>
      <c r="E85" s="21">
        <f>F85+G85+H85+M85+N85</f>
        <v>0</v>
      </c>
      <c r="F85" s="21">
        <v>0</v>
      </c>
      <c r="G85" s="21">
        <v>0</v>
      </c>
      <c r="H85" s="133">
        <v>0</v>
      </c>
      <c r="I85" s="134"/>
      <c r="J85" s="134"/>
      <c r="K85" s="134"/>
      <c r="L85" s="135"/>
      <c r="M85" s="21">
        <v>0</v>
      </c>
      <c r="N85" s="21">
        <v>0</v>
      </c>
      <c r="O85" s="127"/>
    </row>
    <row r="86" spans="1:15" ht="28.5" customHeight="1" x14ac:dyDescent="0.3">
      <c r="A86" s="161"/>
      <c r="B86" s="137" t="s">
        <v>304</v>
      </c>
      <c r="C86" s="131" t="s">
        <v>101</v>
      </c>
      <c r="D86" s="131" t="s">
        <v>101</v>
      </c>
      <c r="E86" s="126" t="s">
        <v>102</v>
      </c>
      <c r="F86" s="126" t="s">
        <v>103</v>
      </c>
      <c r="G86" s="139" t="s">
        <v>501</v>
      </c>
      <c r="H86" s="132" t="s">
        <v>499</v>
      </c>
      <c r="I86" s="133" t="s">
        <v>332</v>
      </c>
      <c r="J86" s="134"/>
      <c r="K86" s="134"/>
      <c r="L86" s="135"/>
      <c r="M86" s="126" t="s">
        <v>105</v>
      </c>
      <c r="N86" s="126" t="s">
        <v>106</v>
      </c>
      <c r="O86" s="127"/>
    </row>
    <row r="87" spans="1:15" ht="24" customHeight="1" x14ac:dyDescent="0.3">
      <c r="A87" s="161"/>
      <c r="B87" s="137"/>
      <c r="C87" s="131"/>
      <c r="D87" s="131"/>
      <c r="E87" s="126"/>
      <c r="F87" s="126"/>
      <c r="G87" s="140"/>
      <c r="H87" s="126"/>
      <c r="I87" s="23" t="s">
        <v>327</v>
      </c>
      <c r="J87" s="23" t="s">
        <v>328</v>
      </c>
      <c r="K87" s="23" t="s">
        <v>329</v>
      </c>
      <c r="L87" s="23" t="s">
        <v>330</v>
      </c>
      <c r="M87" s="126"/>
      <c r="N87" s="126"/>
      <c r="O87" s="127"/>
    </row>
    <row r="88" spans="1:15" ht="30" customHeight="1" x14ac:dyDescent="0.3">
      <c r="A88" s="161"/>
      <c r="B88" s="137"/>
      <c r="C88" s="131"/>
      <c r="D88" s="131"/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27"/>
    </row>
    <row r="89" spans="1:15" ht="26.25" customHeight="1" x14ac:dyDescent="0.3">
      <c r="A89" s="161" t="s">
        <v>27</v>
      </c>
      <c r="B89" s="137" t="s">
        <v>74</v>
      </c>
      <c r="C89" s="161" t="s">
        <v>67</v>
      </c>
      <c r="D89" s="38" t="s">
        <v>8</v>
      </c>
      <c r="E89" s="21">
        <f t="shared" ref="E89:E96" si="12">F89+G89+H89+M89+N89</f>
        <v>0</v>
      </c>
      <c r="F89" s="21">
        <f>F90+F91</f>
        <v>0</v>
      </c>
      <c r="G89" s="26">
        <f t="shared" ref="G89:N89" si="13">G90+G91</f>
        <v>0</v>
      </c>
      <c r="H89" s="133">
        <f t="shared" si="13"/>
        <v>0</v>
      </c>
      <c r="I89" s="134"/>
      <c r="J89" s="134"/>
      <c r="K89" s="134"/>
      <c r="L89" s="135"/>
      <c r="M89" s="21">
        <f t="shared" si="13"/>
        <v>0</v>
      </c>
      <c r="N89" s="21">
        <f t="shared" si="13"/>
        <v>0</v>
      </c>
      <c r="O89" s="127"/>
    </row>
    <row r="90" spans="1:15" ht="39" customHeight="1" x14ac:dyDescent="0.3">
      <c r="A90" s="161"/>
      <c r="B90" s="137"/>
      <c r="C90" s="161"/>
      <c r="D90" s="38" t="s">
        <v>10</v>
      </c>
      <c r="E90" s="21">
        <f t="shared" si="12"/>
        <v>0</v>
      </c>
      <c r="F90" s="21">
        <v>0</v>
      </c>
      <c r="G90" s="26">
        <v>0</v>
      </c>
      <c r="H90" s="133">
        <v>0</v>
      </c>
      <c r="I90" s="134"/>
      <c r="J90" s="134"/>
      <c r="K90" s="134"/>
      <c r="L90" s="135"/>
      <c r="M90" s="21">
        <v>0</v>
      </c>
      <c r="N90" s="21">
        <v>0</v>
      </c>
      <c r="O90" s="127"/>
    </row>
    <row r="91" spans="1:15" ht="39" customHeight="1" x14ac:dyDescent="0.3">
      <c r="A91" s="161"/>
      <c r="B91" s="137"/>
      <c r="C91" s="161"/>
      <c r="D91" s="38" t="s">
        <v>11</v>
      </c>
      <c r="E91" s="21">
        <f t="shared" si="12"/>
        <v>0</v>
      </c>
      <c r="F91" s="21">
        <v>0</v>
      </c>
      <c r="G91" s="26">
        <v>0</v>
      </c>
      <c r="H91" s="133">
        <v>0</v>
      </c>
      <c r="I91" s="134"/>
      <c r="J91" s="134"/>
      <c r="K91" s="134"/>
      <c r="L91" s="135"/>
      <c r="M91" s="21">
        <v>0</v>
      </c>
      <c r="N91" s="21">
        <v>0</v>
      </c>
      <c r="O91" s="127"/>
    </row>
    <row r="92" spans="1:15" ht="30" customHeight="1" x14ac:dyDescent="0.3">
      <c r="A92" s="161"/>
      <c r="B92" s="137"/>
      <c r="C92" s="161"/>
      <c r="D92" s="38" t="s">
        <v>12</v>
      </c>
      <c r="E92" s="21">
        <f t="shared" si="12"/>
        <v>0</v>
      </c>
      <c r="F92" s="21">
        <v>0</v>
      </c>
      <c r="G92" s="26">
        <v>0</v>
      </c>
      <c r="H92" s="133">
        <v>0</v>
      </c>
      <c r="I92" s="134"/>
      <c r="J92" s="134"/>
      <c r="K92" s="134"/>
      <c r="L92" s="135"/>
      <c r="M92" s="21">
        <v>0</v>
      </c>
      <c r="N92" s="21">
        <v>0</v>
      </c>
      <c r="O92" s="127"/>
    </row>
    <row r="93" spans="1:15" ht="27.75" customHeight="1" x14ac:dyDescent="0.3">
      <c r="A93" s="161" t="s">
        <v>28</v>
      </c>
      <c r="B93" s="137" t="s">
        <v>305</v>
      </c>
      <c r="C93" s="161" t="s">
        <v>67</v>
      </c>
      <c r="D93" s="38" t="s">
        <v>8</v>
      </c>
      <c r="E93" s="21">
        <f t="shared" si="12"/>
        <v>0</v>
      </c>
      <c r="F93" s="21">
        <f>F94+F95</f>
        <v>0</v>
      </c>
      <c r="G93" s="26">
        <f t="shared" ref="G93" si="14">G94+G95</f>
        <v>0</v>
      </c>
      <c r="H93" s="133">
        <f t="shared" ref="H93" si="15">H94+H95</f>
        <v>0</v>
      </c>
      <c r="I93" s="134"/>
      <c r="J93" s="134"/>
      <c r="K93" s="134"/>
      <c r="L93" s="135"/>
      <c r="M93" s="21">
        <f t="shared" ref="M93" si="16">M94+M95</f>
        <v>0</v>
      </c>
      <c r="N93" s="21">
        <f t="shared" ref="N93" si="17">N94+N95</f>
        <v>0</v>
      </c>
      <c r="O93" s="127" t="s">
        <v>75</v>
      </c>
    </row>
    <row r="94" spans="1:15" ht="36" customHeight="1" x14ac:dyDescent="0.3">
      <c r="A94" s="161"/>
      <c r="B94" s="137"/>
      <c r="C94" s="161"/>
      <c r="D94" s="38" t="s">
        <v>10</v>
      </c>
      <c r="E94" s="21">
        <f t="shared" si="12"/>
        <v>0</v>
      </c>
      <c r="F94" s="21">
        <v>0</v>
      </c>
      <c r="G94" s="26">
        <v>0</v>
      </c>
      <c r="H94" s="133">
        <v>0</v>
      </c>
      <c r="I94" s="134"/>
      <c r="J94" s="134"/>
      <c r="K94" s="134"/>
      <c r="L94" s="135"/>
      <c r="M94" s="21">
        <v>0</v>
      </c>
      <c r="N94" s="21">
        <v>0</v>
      </c>
      <c r="O94" s="127"/>
    </row>
    <row r="95" spans="1:15" ht="38.25" customHeight="1" x14ac:dyDescent="0.3">
      <c r="A95" s="161"/>
      <c r="B95" s="137"/>
      <c r="C95" s="161"/>
      <c r="D95" s="38" t="s">
        <v>11</v>
      </c>
      <c r="E95" s="21">
        <f t="shared" si="12"/>
        <v>0</v>
      </c>
      <c r="F95" s="21">
        <v>0</v>
      </c>
      <c r="G95" s="26">
        <v>0</v>
      </c>
      <c r="H95" s="133">
        <v>0</v>
      </c>
      <c r="I95" s="134"/>
      <c r="J95" s="134"/>
      <c r="K95" s="134"/>
      <c r="L95" s="135"/>
      <c r="M95" s="21">
        <v>0</v>
      </c>
      <c r="N95" s="21">
        <v>0</v>
      </c>
      <c r="O95" s="127"/>
    </row>
    <row r="96" spans="1:15" ht="26.25" customHeight="1" x14ac:dyDescent="0.3">
      <c r="A96" s="161"/>
      <c r="B96" s="137"/>
      <c r="C96" s="161"/>
      <c r="D96" s="38" t="s">
        <v>12</v>
      </c>
      <c r="E96" s="21">
        <f t="shared" si="12"/>
        <v>0</v>
      </c>
      <c r="F96" s="21">
        <v>0</v>
      </c>
      <c r="G96" s="26">
        <v>0</v>
      </c>
      <c r="H96" s="133">
        <v>0</v>
      </c>
      <c r="I96" s="134"/>
      <c r="J96" s="134"/>
      <c r="K96" s="134"/>
      <c r="L96" s="135"/>
      <c r="M96" s="21">
        <v>0</v>
      </c>
      <c r="N96" s="21">
        <v>0</v>
      </c>
      <c r="O96" s="127"/>
    </row>
    <row r="97" spans="1:15" ht="23.25" customHeight="1" x14ac:dyDescent="0.3">
      <c r="A97" s="161"/>
      <c r="B97" s="137" t="s">
        <v>306</v>
      </c>
      <c r="C97" s="131" t="s">
        <v>101</v>
      </c>
      <c r="D97" s="131" t="s">
        <v>101</v>
      </c>
      <c r="E97" s="126" t="s">
        <v>102</v>
      </c>
      <c r="F97" s="126" t="s">
        <v>103</v>
      </c>
      <c r="G97" s="139" t="s">
        <v>501</v>
      </c>
      <c r="H97" s="132" t="s">
        <v>499</v>
      </c>
      <c r="I97" s="133" t="s">
        <v>332</v>
      </c>
      <c r="J97" s="134"/>
      <c r="K97" s="134"/>
      <c r="L97" s="135"/>
      <c r="M97" s="126" t="s">
        <v>105</v>
      </c>
      <c r="N97" s="126" t="s">
        <v>106</v>
      </c>
      <c r="O97" s="127"/>
    </row>
    <row r="98" spans="1:15" ht="23.25" customHeight="1" x14ac:dyDescent="0.3">
      <c r="A98" s="161"/>
      <c r="B98" s="137"/>
      <c r="C98" s="131"/>
      <c r="D98" s="131"/>
      <c r="E98" s="126"/>
      <c r="F98" s="126"/>
      <c r="G98" s="140"/>
      <c r="H98" s="126"/>
      <c r="I98" s="23" t="s">
        <v>327</v>
      </c>
      <c r="J98" s="23" t="s">
        <v>328</v>
      </c>
      <c r="K98" s="23" t="s">
        <v>329</v>
      </c>
      <c r="L98" s="23" t="s">
        <v>330</v>
      </c>
      <c r="M98" s="126"/>
      <c r="N98" s="126"/>
      <c r="O98" s="127"/>
    </row>
    <row r="99" spans="1:15" ht="27.75" customHeight="1" x14ac:dyDescent="0.3">
      <c r="A99" s="161"/>
      <c r="B99" s="137"/>
      <c r="C99" s="131"/>
      <c r="D99" s="131"/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27"/>
    </row>
    <row r="100" spans="1:15" ht="26.25" customHeight="1" x14ac:dyDescent="0.3">
      <c r="A100" s="161" t="s">
        <v>31</v>
      </c>
      <c r="B100" s="137" t="s">
        <v>523</v>
      </c>
      <c r="C100" s="161" t="s">
        <v>67</v>
      </c>
      <c r="D100" s="38" t="s">
        <v>8</v>
      </c>
      <c r="E100" s="21">
        <f t="shared" ref="E100:E107" si="18">F100+G100+H100+M100+N100</f>
        <v>0</v>
      </c>
      <c r="F100" s="21">
        <f>F101+F102</f>
        <v>0</v>
      </c>
      <c r="G100" s="26">
        <f t="shared" ref="G100:H100" si="19">G101+G102</f>
        <v>0</v>
      </c>
      <c r="H100" s="133">
        <f t="shared" si="19"/>
        <v>0</v>
      </c>
      <c r="I100" s="134"/>
      <c r="J100" s="134"/>
      <c r="K100" s="134"/>
      <c r="L100" s="135"/>
      <c r="M100" s="21">
        <f t="shared" ref="M100:N100" si="20">M101+M102</f>
        <v>0</v>
      </c>
      <c r="N100" s="21">
        <f t="shared" si="20"/>
        <v>0</v>
      </c>
      <c r="O100" s="127"/>
    </row>
    <row r="101" spans="1:15" ht="39" customHeight="1" x14ac:dyDescent="0.3">
      <c r="A101" s="161"/>
      <c r="B101" s="137"/>
      <c r="C101" s="161"/>
      <c r="D101" s="38" t="s">
        <v>10</v>
      </c>
      <c r="E101" s="21">
        <f t="shared" si="18"/>
        <v>0</v>
      </c>
      <c r="F101" s="21">
        <v>0</v>
      </c>
      <c r="G101" s="26">
        <v>0</v>
      </c>
      <c r="H101" s="133">
        <v>0</v>
      </c>
      <c r="I101" s="134"/>
      <c r="J101" s="134"/>
      <c r="K101" s="134"/>
      <c r="L101" s="135"/>
      <c r="M101" s="21">
        <v>0</v>
      </c>
      <c r="N101" s="21">
        <v>0</v>
      </c>
      <c r="O101" s="127"/>
    </row>
    <row r="102" spans="1:15" ht="39" customHeight="1" x14ac:dyDescent="0.3">
      <c r="A102" s="161"/>
      <c r="B102" s="137"/>
      <c r="C102" s="161"/>
      <c r="D102" s="38" t="s">
        <v>11</v>
      </c>
      <c r="E102" s="21">
        <f t="shared" si="18"/>
        <v>0</v>
      </c>
      <c r="F102" s="21">
        <v>0</v>
      </c>
      <c r="G102" s="26">
        <v>0</v>
      </c>
      <c r="H102" s="133">
        <v>0</v>
      </c>
      <c r="I102" s="134"/>
      <c r="J102" s="134"/>
      <c r="K102" s="134"/>
      <c r="L102" s="135"/>
      <c r="M102" s="21">
        <v>0</v>
      </c>
      <c r="N102" s="21">
        <v>0</v>
      </c>
      <c r="O102" s="127"/>
    </row>
    <row r="103" spans="1:15" ht="30" customHeight="1" x14ac:dyDescent="0.3">
      <c r="A103" s="161"/>
      <c r="B103" s="137"/>
      <c r="C103" s="161"/>
      <c r="D103" s="38" t="s">
        <v>12</v>
      </c>
      <c r="E103" s="21">
        <f t="shared" si="18"/>
        <v>0</v>
      </c>
      <c r="F103" s="21">
        <v>0</v>
      </c>
      <c r="G103" s="26">
        <v>0</v>
      </c>
      <c r="H103" s="133">
        <v>0</v>
      </c>
      <c r="I103" s="134"/>
      <c r="J103" s="134"/>
      <c r="K103" s="134"/>
      <c r="L103" s="135"/>
      <c r="M103" s="21">
        <v>0</v>
      </c>
      <c r="N103" s="21">
        <v>0</v>
      </c>
      <c r="O103" s="127"/>
    </row>
    <row r="104" spans="1:15" ht="27.75" customHeight="1" x14ac:dyDescent="0.3">
      <c r="A104" s="161" t="s">
        <v>32</v>
      </c>
      <c r="B104" s="137" t="s">
        <v>502</v>
      </c>
      <c r="C104" s="161" t="s">
        <v>67</v>
      </c>
      <c r="D104" s="38" t="s">
        <v>8</v>
      </c>
      <c r="E104" s="21">
        <f t="shared" si="18"/>
        <v>0</v>
      </c>
      <c r="F104" s="21">
        <f>F105+F106</f>
        <v>0</v>
      </c>
      <c r="G104" s="26">
        <f t="shared" ref="G104:H104" si="21">G105+G106</f>
        <v>0</v>
      </c>
      <c r="H104" s="133">
        <f t="shared" si="21"/>
        <v>0</v>
      </c>
      <c r="I104" s="134"/>
      <c r="J104" s="134"/>
      <c r="K104" s="134"/>
      <c r="L104" s="135"/>
      <c r="M104" s="21">
        <f t="shared" ref="M104:N104" si="22">M105+M106</f>
        <v>0</v>
      </c>
      <c r="N104" s="21">
        <f t="shared" si="22"/>
        <v>0</v>
      </c>
      <c r="O104" s="127" t="s">
        <v>17</v>
      </c>
    </row>
    <row r="105" spans="1:15" ht="36" customHeight="1" x14ac:dyDescent="0.3">
      <c r="A105" s="161"/>
      <c r="B105" s="137"/>
      <c r="C105" s="161"/>
      <c r="D105" s="38" t="s">
        <v>10</v>
      </c>
      <c r="E105" s="21">
        <f t="shared" si="18"/>
        <v>0</v>
      </c>
      <c r="F105" s="21">
        <v>0</v>
      </c>
      <c r="G105" s="26">
        <v>0</v>
      </c>
      <c r="H105" s="133">
        <v>0</v>
      </c>
      <c r="I105" s="134"/>
      <c r="J105" s="134"/>
      <c r="K105" s="134"/>
      <c r="L105" s="135"/>
      <c r="M105" s="21">
        <v>0</v>
      </c>
      <c r="N105" s="21">
        <v>0</v>
      </c>
      <c r="O105" s="127"/>
    </row>
    <row r="106" spans="1:15" ht="38.25" customHeight="1" x14ac:dyDescent="0.3">
      <c r="A106" s="161"/>
      <c r="B106" s="137"/>
      <c r="C106" s="161"/>
      <c r="D106" s="38" t="s">
        <v>11</v>
      </c>
      <c r="E106" s="21">
        <f t="shared" si="18"/>
        <v>0</v>
      </c>
      <c r="F106" s="21">
        <v>0</v>
      </c>
      <c r="G106" s="26">
        <v>0</v>
      </c>
      <c r="H106" s="133">
        <v>0</v>
      </c>
      <c r="I106" s="134"/>
      <c r="J106" s="134"/>
      <c r="K106" s="134"/>
      <c r="L106" s="135"/>
      <c r="M106" s="21">
        <v>0</v>
      </c>
      <c r="N106" s="21">
        <v>0</v>
      </c>
      <c r="O106" s="127"/>
    </row>
    <row r="107" spans="1:15" ht="26.25" customHeight="1" x14ac:dyDescent="0.3">
      <c r="A107" s="161"/>
      <c r="B107" s="137"/>
      <c r="C107" s="161"/>
      <c r="D107" s="38" t="s">
        <v>12</v>
      </c>
      <c r="E107" s="21">
        <f t="shared" si="18"/>
        <v>0</v>
      </c>
      <c r="F107" s="21">
        <v>0</v>
      </c>
      <c r="G107" s="26">
        <v>0</v>
      </c>
      <c r="H107" s="133">
        <v>0</v>
      </c>
      <c r="I107" s="134"/>
      <c r="J107" s="134"/>
      <c r="K107" s="134"/>
      <c r="L107" s="135"/>
      <c r="M107" s="21">
        <v>0</v>
      </c>
      <c r="N107" s="21">
        <v>0</v>
      </c>
      <c r="O107" s="127"/>
    </row>
    <row r="108" spans="1:15" ht="23.25" customHeight="1" x14ac:dyDescent="0.3">
      <c r="A108" s="161"/>
      <c r="B108" s="137" t="s">
        <v>514</v>
      </c>
      <c r="C108" s="131" t="s">
        <v>101</v>
      </c>
      <c r="D108" s="131" t="s">
        <v>101</v>
      </c>
      <c r="E108" s="126" t="s">
        <v>102</v>
      </c>
      <c r="F108" s="126" t="s">
        <v>103</v>
      </c>
      <c r="G108" s="139" t="s">
        <v>501</v>
      </c>
      <c r="H108" s="132" t="s">
        <v>499</v>
      </c>
      <c r="I108" s="133" t="s">
        <v>332</v>
      </c>
      <c r="J108" s="134"/>
      <c r="K108" s="134"/>
      <c r="L108" s="135"/>
      <c r="M108" s="126" t="s">
        <v>105</v>
      </c>
      <c r="N108" s="126" t="s">
        <v>106</v>
      </c>
      <c r="O108" s="127"/>
    </row>
    <row r="109" spans="1:15" ht="23.25" customHeight="1" x14ac:dyDescent="0.3">
      <c r="A109" s="161"/>
      <c r="B109" s="137"/>
      <c r="C109" s="131"/>
      <c r="D109" s="131"/>
      <c r="E109" s="126"/>
      <c r="F109" s="126"/>
      <c r="G109" s="140"/>
      <c r="H109" s="126"/>
      <c r="I109" s="23" t="s">
        <v>327</v>
      </c>
      <c r="J109" s="23" t="s">
        <v>328</v>
      </c>
      <c r="K109" s="23" t="s">
        <v>329</v>
      </c>
      <c r="L109" s="23" t="s">
        <v>330</v>
      </c>
      <c r="M109" s="126"/>
      <c r="N109" s="126"/>
      <c r="O109" s="127"/>
    </row>
    <row r="110" spans="1:15" ht="42" customHeight="1" x14ac:dyDescent="0.3">
      <c r="A110" s="161"/>
      <c r="B110" s="137"/>
      <c r="C110" s="131"/>
      <c r="D110" s="131"/>
      <c r="E110" s="14">
        <v>0</v>
      </c>
      <c r="F110" s="14">
        <v>0</v>
      </c>
      <c r="G110" s="14">
        <v>0</v>
      </c>
      <c r="H110" s="14">
        <v>0</v>
      </c>
      <c r="I110" s="14">
        <v>0</v>
      </c>
      <c r="J110" s="14">
        <v>0</v>
      </c>
      <c r="K110" s="14">
        <v>0</v>
      </c>
      <c r="L110" s="14">
        <v>0</v>
      </c>
      <c r="M110" s="14">
        <v>0</v>
      </c>
      <c r="N110" s="14">
        <v>0</v>
      </c>
      <c r="O110" s="127"/>
    </row>
    <row r="111" spans="1:15" ht="39.75" customHeight="1" x14ac:dyDescent="0.3">
      <c r="A111" s="186"/>
      <c r="B111" s="181" t="s">
        <v>309</v>
      </c>
      <c r="C111" s="162"/>
      <c r="D111" s="40" t="s">
        <v>308</v>
      </c>
      <c r="E111" s="15">
        <f>SUM(E112:E115)</f>
        <v>8962886.1919999998</v>
      </c>
      <c r="F111" s="15">
        <f>SUM(F112:F115)</f>
        <v>558204.43200000003</v>
      </c>
      <c r="G111" s="15">
        <f t="shared" ref="G111:N111" si="23">SUM(G112:G115)</f>
        <v>1637019.81</v>
      </c>
      <c r="H111" s="156">
        <f>SUM(H112:H115)</f>
        <v>499432.76000000007</v>
      </c>
      <c r="I111" s="157"/>
      <c r="J111" s="157"/>
      <c r="K111" s="157"/>
      <c r="L111" s="158"/>
      <c r="M111" s="15">
        <f t="shared" si="23"/>
        <v>4540048.76</v>
      </c>
      <c r="N111" s="15">
        <f t="shared" si="23"/>
        <v>1728180.4300000002</v>
      </c>
      <c r="O111" s="161"/>
    </row>
    <row r="112" spans="1:15" ht="35.25" customHeight="1" x14ac:dyDescent="0.3">
      <c r="A112" s="186"/>
      <c r="B112" s="181"/>
      <c r="C112" s="162"/>
      <c r="D112" s="40" t="s">
        <v>9</v>
      </c>
      <c r="E112" s="15">
        <f>SUM(F112:N112)</f>
        <v>512943.8</v>
      </c>
      <c r="F112" s="15">
        <f>F48</f>
        <v>200000</v>
      </c>
      <c r="G112" s="15">
        <f>G48</f>
        <v>312943.8</v>
      </c>
      <c r="H112" s="156">
        <f>H48</f>
        <v>0</v>
      </c>
      <c r="I112" s="157"/>
      <c r="J112" s="157"/>
      <c r="K112" s="157"/>
      <c r="L112" s="158"/>
      <c r="M112" s="15">
        <f>M48</f>
        <v>0</v>
      </c>
      <c r="N112" s="15">
        <f>N48</f>
        <v>0</v>
      </c>
      <c r="O112" s="161"/>
    </row>
    <row r="113" spans="1:15" ht="35.25" customHeight="1" x14ac:dyDescent="0.3">
      <c r="A113" s="186"/>
      <c r="B113" s="181"/>
      <c r="C113" s="162"/>
      <c r="D113" s="40" t="s">
        <v>10</v>
      </c>
      <c r="E113" s="15">
        <f>SUM(F113:N113)</f>
        <v>7646565.8699999992</v>
      </c>
      <c r="F113" s="15">
        <f t="shared" ref="F113:H114" si="24">F73+F49+F90</f>
        <v>308122.03999999998</v>
      </c>
      <c r="G113" s="15">
        <f t="shared" si="24"/>
        <v>1140293.96</v>
      </c>
      <c r="H113" s="156">
        <f t="shared" si="24"/>
        <v>471464.51000000007</v>
      </c>
      <c r="I113" s="157"/>
      <c r="J113" s="157"/>
      <c r="K113" s="157"/>
      <c r="L113" s="158"/>
      <c r="M113" s="15">
        <f>M73+M49+M90</f>
        <v>4049570.3</v>
      </c>
      <c r="N113" s="15">
        <f>N73+N49+N90</f>
        <v>1677115.06</v>
      </c>
      <c r="O113" s="161"/>
    </row>
    <row r="114" spans="1:15" ht="37.5" customHeight="1" x14ac:dyDescent="0.3">
      <c r="A114" s="186"/>
      <c r="B114" s="181"/>
      <c r="C114" s="162"/>
      <c r="D114" s="40" t="s">
        <v>18</v>
      </c>
      <c r="E114" s="15">
        <f>SUM(F114:N114)</f>
        <v>803376.522</v>
      </c>
      <c r="F114" s="15">
        <f t="shared" si="24"/>
        <v>50082.392</v>
      </c>
      <c r="G114" s="15">
        <f t="shared" si="24"/>
        <v>183782.05000000002</v>
      </c>
      <c r="H114" s="156">
        <f t="shared" si="24"/>
        <v>27968.25</v>
      </c>
      <c r="I114" s="157"/>
      <c r="J114" s="157"/>
      <c r="K114" s="157"/>
      <c r="L114" s="158"/>
      <c r="M114" s="15">
        <f>M74+M50+M91</f>
        <v>490478.45999999996</v>
      </c>
      <c r="N114" s="15">
        <f>N74+N50+N91</f>
        <v>51065.369999999995</v>
      </c>
      <c r="O114" s="161"/>
    </row>
    <row r="115" spans="1:15" ht="34.5" customHeight="1" x14ac:dyDescent="0.3">
      <c r="A115" s="186"/>
      <c r="B115" s="181"/>
      <c r="C115" s="162"/>
      <c r="D115" s="40" t="s">
        <v>15</v>
      </c>
      <c r="E115" s="15">
        <f>SUM(F115:N115)</f>
        <v>0</v>
      </c>
      <c r="F115" s="15">
        <f>F75</f>
        <v>0</v>
      </c>
      <c r="G115" s="15">
        <f>G75</f>
        <v>0</v>
      </c>
      <c r="H115" s="156">
        <f>H75</f>
        <v>0</v>
      </c>
      <c r="I115" s="157"/>
      <c r="J115" s="157"/>
      <c r="K115" s="157"/>
      <c r="L115" s="158"/>
      <c r="M115" s="15">
        <f>M75</f>
        <v>0</v>
      </c>
      <c r="N115" s="15">
        <f>N75</f>
        <v>0</v>
      </c>
      <c r="O115" s="161"/>
    </row>
    <row r="116" spans="1:15" s="19" customFormat="1" ht="36" customHeight="1" x14ac:dyDescent="0.25">
      <c r="A116" s="43"/>
      <c r="B116" s="138" t="s">
        <v>133</v>
      </c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</row>
    <row r="117" spans="1:15" s="19" customFormat="1" ht="36" customHeight="1" x14ac:dyDescent="0.25">
      <c r="A117" s="161" t="s">
        <v>6</v>
      </c>
      <c r="B117" s="137" t="s">
        <v>76</v>
      </c>
      <c r="C117" s="127" t="s">
        <v>67</v>
      </c>
      <c r="D117" s="38" t="s">
        <v>14</v>
      </c>
      <c r="E117" s="24">
        <f>E121+E128+E134+E140+E146+E152+E158+E161</f>
        <v>1986801.93676</v>
      </c>
      <c r="F117" s="24">
        <f>F121+F128+F134+F140</f>
        <v>95400</v>
      </c>
      <c r="G117" s="24">
        <f>G121+G128+G134+G140+G146+G152</f>
        <v>217438.99999999997</v>
      </c>
      <c r="H117" s="132">
        <f>H121+H128+H134+H140+H146+H152+H158+H161</f>
        <v>951252.75944000005</v>
      </c>
      <c r="I117" s="132"/>
      <c r="J117" s="132"/>
      <c r="K117" s="132"/>
      <c r="L117" s="132"/>
      <c r="M117" s="24">
        <f>M121+M128+M134+M140+M146+M158+M161</f>
        <v>712441.78732</v>
      </c>
      <c r="N117" s="24">
        <f t="shared" ref="N117" si="25">N121+N128+N134+N140</f>
        <v>0</v>
      </c>
      <c r="O117" s="127"/>
    </row>
    <row r="118" spans="1:15" s="19" customFormat="1" ht="36" customHeight="1" x14ac:dyDescent="0.25">
      <c r="A118" s="161"/>
      <c r="B118" s="137"/>
      <c r="C118" s="127"/>
      <c r="D118" s="38" t="s">
        <v>10</v>
      </c>
      <c r="E118" s="24">
        <f>E122+E129+E135+E141+E147+E153+E159+E162</f>
        <v>1194533.47</v>
      </c>
      <c r="F118" s="24">
        <f t="shared" ref="F118:F119" si="26">F122+F129+F135+F141</f>
        <v>58384.800000000003</v>
      </c>
      <c r="G118" s="24">
        <f t="shared" ref="G118:G119" si="27">G122+G129+G135+G141+G147+G153</f>
        <v>123629.26</v>
      </c>
      <c r="H118" s="132">
        <f>H122+H129+H135+H141+H147+H153+H159+H162</f>
        <v>569151.87000000011</v>
      </c>
      <c r="I118" s="132"/>
      <c r="J118" s="132"/>
      <c r="K118" s="132"/>
      <c r="L118" s="132"/>
      <c r="M118" s="24">
        <f>M122+M129+M135+M141+M147+M159+M162+M153</f>
        <v>443367.54000000004</v>
      </c>
      <c r="N118" s="24">
        <f t="shared" ref="N118:N119" si="28">N122+N129+N135+N141</f>
        <v>0</v>
      </c>
      <c r="O118" s="127"/>
    </row>
    <row r="119" spans="1:15" s="19" customFormat="1" ht="36" customHeight="1" x14ac:dyDescent="0.25">
      <c r="A119" s="161"/>
      <c r="B119" s="137"/>
      <c r="C119" s="127"/>
      <c r="D119" s="38" t="s">
        <v>18</v>
      </c>
      <c r="E119" s="24">
        <f>E123+E130+E136+E142+E148+E154+E160+E163</f>
        <v>792268.46675999998</v>
      </c>
      <c r="F119" s="24">
        <f t="shared" si="26"/>
        <v>37015.199999999997</v>
      </c>
      <c r="G119" s="24">
        <f t="shared" si="27"/>
        <v>93809.739999999991</v>
      </c>
      <c r="H119" s="132">
        <f>H123+H130+H136+H142+H148+H154+H160+H163</f>
        <v>382100.88944</v>
      </c>
      <c r="I119" s="132"/>
      <c r="J119" s="132"/>
      <c r="K119" s="132"/>
      <c r="L119" s="132"/>
      <c r="M119" s="24">
        <f>M123+M130+M136+M142+M148+M160+M163+M154</f>
        <v>279342.63732000004</v>
      </c>
      <c r="N119" s="24">
        <f t="shared" si="28"/>
        <v>0</v>
      </c>
      <c r="O119" s="127"/>
    </row>
    <row r="120" spans="1:15" s="19" customFormat="1" ht="36" customHeight="1" x14ac:dyDescent="0.25">
      <c r="A120" s="161"/>
      <c r="B120" s="137"/>
      <c r="C120" s="127"/>
      <c r="D120" s="38" t="s">
        <v>12</v>
      </c>
      <c r="E120" s="24">
        <f t="shared" ref="E120:N120" si="29">E124</f>
        <v>0</v>
      </c>
      <c r="F120" s="24">
        <f t="shared" si="29"/>
        <v>0</v>
      </c>
      <c r="G120" s="24">
        <f t="shared" si="29"/>
        <v>0</v>
      </c>
      <c r="H120" s="132">
        <f t="shared" si="29"/>
        <v>0</v>
      </c>
      <c r="I120" s="132"/>
      <c r="J120" s="132"/>
      <c r="K120" s="132"/>
      <c r="L120" s="132"/>
      <c r="M120" s="24">
        <f t="shared" si="29"/>
        <v>0</v>
      </c>
      <c r="N120" s="24">
        <f t="shared" si="29"/>
        <v>0</v>
      </c>
      <c r="O120" s="127"/>
    </row>
    <row r="121" spans="1:15" s="19" customFormat="1" ht="33.75" customHeight="1" x14ac:dyDescent="0.25">
      <c r="A121" s="161" t="s">
        <v>13</v>
      </c>
      <c r="B121" s="137" t="s">
        <v>276</v>
      </c>
      <c r="C121" s="127" t="s">
        <v>67</v>
      </c>
      <c r="D121" s="38" t="s">
        <v>14</v>
      </c>
      <c r="E121" s="24">
        <f>'Строительство и реконструкция'!K148</f>
        <v>476835.14</v>
      </c>
      <c r="F121" s="24">
        <f>'Строительство и реконструкция'!L148</f>
        <v>95400</v>
      </c>
      <c r="G121" s="24">
        <f>'Строительство и реконструкция'!M148</f>
        <v>118135.12</v>
      </c>
      <c r="H121" s="132">
        <f>'Строительство и реконструкция'!N148</f>
        <v>263300.02</v>
      </c>
      <c r="I121" s="132"/>
      <c r="J121" s="132"/>
      <c r="K121" s="132"/>
      <c r="L121" s="132"/>
      <c r="M121" s="24">
        <f>'Строительство и реконструкция'!O148</f>
        <v>0</v>
      </c>
      <c r="N121" s="24">
        <f>'Строительство и реконструкция'!P148</f>
        <v>0</v>
      </c>
      <c r="O121" s="127" t="s">
        <v>263</v>
      </c>
    </row>
    <row r="122" spans="1:15" s="19" customFormat="1" ht="33.75" customHeight="1" x14ac:dyDescent="0.25">
      <c r="A122" s="161"/>
      <c r="B122" s="137"/>
      <c r="C122" s="127"/>
      <c r="D122" s="38" t="s">
        <v>10</v>
      </c>
      <c r="E122" s="24">
        <f>'Строительство и реконструкция'!K149</f>
        <v>292729.18000000005</v>
      </c>
      <c r="F122" s="24">
        <f>'Строительство и реконструкция'!L149</f>
        <v>58384.800000000003</v>
      </c>
      <c r="G122" s="24">
        <f>'Строительство и реконструкция'!M149</f>
        <v>72115.48</v>
      </c>
      <c r="H122" s="132">
        <f>'Строительство и реконструкция'!N149</f>
        <v>162228.90000000002</v>
      </c>
      <c r="I122" s="132"/>
      <c r="J122" s="132"/>
      <c r="K122" s="132"/>
      <c r="L122" s="132"/>
      <c r="M122" s="24">
        <f>'Строительство и реконструкция'!O149</f>
        <v>0</v>
      </c>
      <c r="N122" s="24">
        <f>'Строительство и реконструкция'!P149</f>
        <v>0</v>
      </c>
      <c r="O122" s="127"/>
    </row>
    <row r="123" spans="1:15" s="19" customFormat="1" ht="33.75" customHeight="1" x14ac:dyDescent="0.25">
      <c r="A123" s="161"/>
      <c r="B123" s="137"/>
      <c r="C123" s="127"/>
      <c r="D123" s="38" t="s">
        <v>18</v>
      </c>
      <c r="E123" s="24">
        <f>'Строительство и реконструкция'!K150</f>
        <v>184105.96</v>
      </c>
      <c r="F123" s="24">
        <f>'Строительство и реконструкция'!L150</f>
        <v>37015.199999999997</v>
      </c>
      <c r="G123" s="24">
        <f>'Строительство и реконструкция'!M150</f>
        <v>46019.639999999992</v>
      </c>
      <c r="H123" s="132">
        <f>'Строительство и реконструкция'!N150</f>
        <v>101071.12000000001</v>
      </c>
      <c r="I123" s="132"/>
      <c r="J123" s="132"/>
      <c r="K123" s="132"/>
      <c r="L123" s="132"/>
      <c r="M123" s="24">
        <f>'Строительство и реконструкция'!O150</f>
        <v>0</v>
      </c>
      <c r="N123" s="24">
        <f>'Строительство и реконструкция'!P150</f>
        <v>0</v>
      </c>
      <c r="O123" s="127"/>
    </row>
    <row r="124" spans="1:15" s="19" customFormat="1" ht="36" customHeight="1" x14ac:dyDescent="0.25">
      <c r="A124" s="161"/>
      <c r="B124" s="137"/>
      <c r="C124" s="127"/>
      <c r="D124" s="38" t="s">
        <v>12</v>
      </c>
      <c r="E124" s="24">
        <f>F124+G124+H124+M124+N124</f>
        <v>0</v>
      </c>
      <c r="F124" s="24">
        <v>0</v>
      </c>
      <c r="G124" s="24">
        <v>0</v>
      </c>
      <c r="H124" s="132">
        <v>0</v>
      </c>
      <c r="I124" s="132"/>
      <c r="J124" s="132"/>
      <c r="K124" s="132"/>
      <c r="L124" s="132"/>
      <c r="M124" s="24">
        <v>0</v>
      </c>
      <c r="N124" s="24">
        <v>0</v>
      </c>
      <c r="O124" s="127"/>
    </row>
    <row r="125" spans="1:15" ht="23.25" customHeight="1" x14ac:dyDescent="0.3">
      <c r="A125" s="161"/>
      <c r="B125" s="137" t="s">
        <v>310</v>
      </c>
      <c r="C125" s="131" t="s">
        <v>101</v>
      </c>
      <c r="D125" s="131" t="s">
        <v>101</v>
      </c>
      <c r="E125" s="126" t="s">
        <v>102</v>
      </c>
      <c r="F125" s="126" t="s">
        <v>103</v>
      </c>
      <c r="G125" s="132" t="s">
        <v>501</v>
      </c>
      <c r="H125" s="132" t="s">
        <v>499</v>
      </c>
      <c r="I125" s="126" t="s">
        <v>332</v>
      </c>
      <c r="J125" s="126"/>
      <c r="K125" s="126"/>
      <c r="L125" s="126"/>
      <c r="M125" s="126" t="s">
        <v>105</v>
      </c>
      <c r="N125" s="126" t="s">
        <v>106</v>
      </c>
      <c r="O125" s="127"/>
    </row>
    <row r="126" spans="1:15" ht="23.25" customHeight="1" x14ac:dyDescent="0.3">
      <c r="A126" s="161"/>
      <c r="B126" s="137"/>
      <c r="C126" s="131"/>
      <c r="D126" s="131"/>
      <c r="E126" s="126"/>
      <c r="F126" s="126"/>
      <c r="G126" s="126"/>
      <c r="H126" s="126"/>
      <c r="I126" s="21" t="s">
        <v>327</v>
      </c>
      <c r="J126" s="21" t="s">
        <v>328</v>
      </c>
      <c r="K126" s="21" t="s">
        <v>329</v>
      </c>
      <c r="L126" s="21" t="s">
        <v>330</v>
      </c>
      <c r="M126" s="126"/>
      <c r="N126" s="126"/>
      <c r="O126" s="127"/>
    </row>
    <row r="127" spans="1:15" ht="32.25" customHeight="1" x14ac:dyDescent="0.3">
      <c r="A127" s="161"/>
      <c r="B127" s="137"/>
      <c r="C127" s="131"/>
      <c r="D127" s="131"/>
      <c r="E127" s="14">
        <f>F127+G127+H127+M127+N127</f>
        <v>3</v>
      </c>
      <c r="F127" s="14">
        <v>0</v>
      </c>
      <c r="G127" s="14">
        <v>0</v>
      </c>
      <c r="H127" s="14">
        <v>3</v>
      </c>
      <c r="I127" s="14">
        <v>0</v>
      </c>
      <c r="J127" s="14">
        <v>0</v>
      </c>
      <c r="K127" s="14">
        <v>0</v>
      </c>
      <c r="L127" s="14">
        <v>3</v>
      </c>
      <c r="M127" s="14">
        <v>0</v>
      </c>
      <c r="N127" s="14">
        <v>0</v>
      </c>
      <c r="O127" s="127"/>
    </row>
    <row r="128" spans="1:15" s="19" customFormat="1" ht="30" customHeight="1" x14ac:dyDescent="0.25">
      <c r="A128" s="161" t="s">
        <v>16</v>
      </c>
      <c r="B128" s="137" t="s">
        <v>77</v>
      </c>
      <c r="C128" s="127" t="s">
        <v>67</v>
      </c>
      <c r="D128" s="38" t="s">
        <v>14</v>
      </c>
      <c r="E128" s="24">
        <f>E129+E130</f>
        <v>0</v>
      </c>
      <c r="F128" s="24">
        <f t="shared" ref="F128:N128" si="30">F129+F130</f>
        <v>0</v>
      </c>
      <c r="G128" s="25">
        <f t="shared" si="30"/>
        <v>0</v>
      </c>
      <c r="H128" s="141">
        <f t="shared" si="30"/>
        <v>0</v>
      </c>
      <c r="I128" s="142"/>
      <c r="J128" s="142"/>
      <c r="K128" s="142"/>
      <c r="L128" s="143"/>
      <c r="M128" s="24">
        <f t="shared" si="30"/>
        <v>0</v>
      </c>
      <c r="N128" s="24">
        <f t="shared" si="30"/>
        <v>0</v>
      </c>
      <c r="O128" s="127" t="s">
        <v>17</v>
      </c>
    </row>
    <row r="129" spans="1:15" s="19" customFormat="1" ht="36" customHeight="1" x14ac:dyDescent="0.25">
      <c r="A129" s="161"/>
      <c r="B129" s="137"/>
      <c r="C129" s="127"/>
      <c r="D129" s="38" t="s">
        <v>10</v>
      </c>
      <c r="E129" s="24">
        <f>F129+G129+H129+M129+N129</f>
        <v>0</v>
      </c>
      <c r="F129" s="24">
        <v>0</v>
      </c>
      <c r="G129" s="25">
        <v>0</v>
      </c>
      <c r="H129" s="141">
        <v>0</v>
      </c>
      <c r="I129" s="142"/>
      <c r="J129" s="142"/>
      <c r="K129" s="142"/>
      <c r="L129" s="143"/>
      <c r="M129" s="24">
        <v>0</v>
      </c>
      <c r="N129" s="24">
        <v>0</v>
      </c>
      <c r="O129" s="127"/>
    </row>
    <row r="130" spans="1:15" s="19" customFormat="1" ht="36" customHeight="1" x14ac:dyDescent="0.25">
      <c r="A130" s="161"/>
      <c r="B130" s="137"/>
      <c r="C130" s="127"/>
      <c r="D130" s="38" t="s">
        <v>18</v>
      </c>
      <c r="E130" s="24">
        <f>F130+G130+H130+M130+N130</f>
        <v>0</v>
      </c>
      <c r="F130" s="24">
        <v>0</v>
      </c>
      <c r="G130" s="25">
        <v>0</v>
      </c>
      <c r="H130" s="141">
        <v>0</v>
      </c>
      <c r="I130" s="142"/>
      <c r="J130" s="142"/>
      <c r="K130" s="142"/>
      <c r="L130" s="143"/>
      <c r="M130" s="24">
        <v>0</v>
      </c>
      <c r="N130" s="24">
        <v>0</v>
      </c>
      <c r="O130" s="127"/>
    </row>
    <row r="131" spans="1:15" ht="23.25" customHeight="1" x14ac:dyDescent="0.3">
      <c r="A131" s="161"/>
      <c r="B131" s="137" t="s">
        <v>311</v>
      </c>
      <c r="C131" s="131" t="s">
        <v>101</v>
      </c>
      <c r="D131" s="131" t="s">
        <v>101</v>
      </c>
      <c r="E131" s="126" t="s">
        <v>102</v>
      </c>
      <c r="F131" s="126" t="s">
        <v>103</v>
      </c>
      <c r="G131" s="139" t="s">
        <v>501</v>
      </c>
      <c r="H131" s="132" t="s">
        <v>499</v>
      </c>
      <c r="I131" s="133" t="s">
        <v>332</v>
      </c>
      <c r="J131" s="134"/>
      <c r="K131" s="134"/>
      <c r="L131" s="135"/>
      <c r="M131" s="126" t="s">
        <v>105</v>
      </c>
      <c r="N131" s="126" t="s">
        <v>106</v>
      </c>
      <c r="O131" s="127"/>
    </row>
    <row r="132" spans="1:15" ht="23.25" customHeight="1" x14ac:dyDescent="0.3">
      <c r="A132" s="161"/>
      <c r="B132" s="137"/>
      <c r="C132" s="131"/>
      <c r="D132" s="131"/>
      <c r="E132" s="126"/>
      <c r="F132" s="126"/>
      <c r="G132" s="140"/>
      <c r="H132" s="126"/>
      <c r="I132" s="23" t="s">
        <v>327</v>
      </c>
      <c r="J132" s="23" t="s">
        <v>328</v>
      </c>
      <c r="K132" s="23" t="s">
        <v>329</v>
      </c>
      <c r="L132" s="23" t="s">
        <v>330</v>
      </c>
      <c r="M132" s="126"/>
      <c r="N132" s="126"/>
      <c r="O132" s="127"/>
    </row>
    <row r="133" spans="1:15" ht="24.75" customHeight="1" x14ac:dyDescent="0.3">
      <c r="A133" s="161"/>
      <c r="B133" s="137"/>
      <c r="C133" s="131"/>
      <c r="D133" s="131"/>
      <c r="E133" s="1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27"/>
    </row>
    <row r="134" spans="1:15" s="19" customFormat="1" ht="39" customHeight="1" x14ac:dyDescent="0.25">
      <c r="A134" s="161" t="s">
        <v>22</v>
      </c>
      <c r="B134" s="137" t="s">
        <v>363</v>
      </c>
      <c r="C134" s="127" t="s">
        <v>67</v>
      </c>
      <c r="D134" s="38" t="s">
        <v>14</v>
      </c>
      <c r="E134" s="24">
        <f>'Капитальный ремонт'!E22</f>
        <v>13096.5</v>
      </c>
      <c r="F134" s="24">
        <f>'Капитальный ремонт'!F22</f>
        <v>0</v>
      </c>
      <c r="G134" s="25">
        <f>'Капитальный ремонт'!G22</f>
        <v>13096.5</v>
      </c>
      <c r="H134" s="141">
        <f>'Капитальный ремонт'!H22</f>
        <v>0</v>
      </c>
      <c r="I134" s="142"/>
      <c r="J134" s="142"/>
      <c r="K134" s="142"/>
      <c r="L134" s="143"/>
      <c r="M134" s="24">
        <f>'Капитальный ремонт'!I22</f>
        <v>0</v>
      </c>
      <c r="N134" s="24">
        <f>'Капитальный ремонт'!J22</f>
        <v>0</v>
      </c>
      <c r="O134" s="127" t="s">
        <v>404</v>
      </c>
    </row>
    <row r="135" spans="1:15" s="19" customFormat="1" ht="39" customHeight="1" x14ac:dyDescent="0.25">
      <c r="A135" s="161"/>
      <c r="B135" s="137"/>
      <c r="C135" s="127"/>
      <c r="D135" s="38" t="s">
        <v>10</v>
      </c>
      <c r="E135" s="24">
        <f>'Капитальный ремонт'!E23</f>
        <v>8172.22</v>
      </c>
      <c r="F135" s="24">
        <f>'Капитальный ремонт'!F23</f>
        <v>0</v>
      </c>
      <c r="G135" s="25">
        <f>'Капитальный ремонт'!G23</f>
        <v>8172.22</v>
      </c>
      <c r="H135" s="141">
        <f>'Капитальный ремонт'!H23</f>
        <v>0</v>
      </c>
      <c r="I135" s="142"/>
      <c r="J135" s="142"/>
      <c r="K135" s="142"/>
      <c r="L135" s="143"/>
      <c r="M135" s="24">
        <f>'Капитальный ремонт'!I23</f>
        <v>0</v>
      </c>
      <c r="N135" s="24">
        <f>'Капитальный ремонт'!J23</f>
        <v>0</v>
      </c>
      <c r="O135" s="127"/>
    </row>
    <row r="136" spans="1:15" s="19" customFormat="1" ht="49.5" customHeight="1" x14ac:dyDescent="0.25">
      <c r="A136" s="161"/>
      <c r="B136" s="137"/>
      <c r="C136" s="127"/>
      <c r="D136" s="38" t="s">
        <v>18</v>
      </c>
      <c r="E136" s="24">
        <f>'Капитальный ремонт'!E24</f>
        <v>4924.28</v>
      </c>
      <c r="F136" s="24">
        <f>'Капитальный ремонт'!F24</f>
        <v>0</v>
      </c>
      <c r="G136" s="25">
        <f>'Капитальный ремонт'!G24</f>
        <v>4924.28</v>
      </c>
      <c r="H136" s="141">
        <f>'Капитальный ремонт'!H24</f>
        <v>0</v>
      </c>
      <c r="I136" s="142"/>
      <c r="J136" s="142"/>
      <c r="K136" s="142"/>
      <c r="L136" s="143"/>
      <c r="M136" s="24">
        <f>'Капитальный ремонт'!I24</f>
        <v>0</v>
      </c>
      <c r="N136" s="24">
        <f>'Капитальный ремонт'!J24</f>
        <v>0</v>
      </c>
      <c r="O136" s="127"/>
    </row>
    <row r="137" spans="1:15" ht="23.25" customHeight="1" x14ac:dyDescent="0.3">
      <c r="A137" s="161"/>
      <c r="B137" s="137" t="s">
        <v>400</v>
      </c>
      <c r="C137" s="131" t="s">
        <v>101</v>
      </c>
      <c r="D137" s="131" t="s">
        <v>101</v>
      </c>
      <c r="E137" s="126" t="s">
        <v>102</v>
      </c>
      <c r="F137" s="126" t="s">
        <v>103</v>
      </c>
      <c r="G137" s="139" t="s">
        <v>501</v>
      </c>
      <c r="H137" s="132" t="s">
        <v>499</v>
      </c>
      <c r="I137" s="133" t="s">
        <v>332</v>
      </c>
      <c r="J137" s="134"/>
      <c r="K137" s="134"/>
      <c r="L137" s="135"/>
      <c r="M137" s="126" t="s">
        <v>105</v>
      </c>
      <c r="N137" s="126" t="s">
        <v>106</v>
      </c>
      <c r="O137" s="127"/>
    </row>
    <row r="138" spans="1:15" ht="23.25" customHeight="1" x14ac:dyDescent="0.3">
      <c r="A138" s="161"/>
      <c r="B138" s="137"/>
      <c r="C138" s="131"/>
      <c r="D138" s="131"/>
      <c r="E138" s="126"/>
      <c r="F138" s="126"/>
      <c r="G138" s="140"/>
      <c r="H138" s="126"/>
      <c r="I138" s="23" t="s">
        <v>327</v>
      </c>
      <c r="J138" s="23" t="s">
        <v>328</v>
      </c>
      <c r="K138" s="23" t="s">
        <v>329</v>
      </c>
      <c r="L138" s="23" t="s">
        <v>330</v>
      </c>
      <c r="M138" s="126"/>
      <c r="N138" s="126"/>
      <c r="O138" s="127"/>
    </row>
    <row r="139" spans="1:15" ht="24.75" customHeight="1" x14ac:dyDescent="0.3">
      <c r="A139" s="161"/>
      <c r="B139" s="137"/>
      <c r="C139" s="131"/>
      <c r="D139" s="131"/>
      <c r="E139" s="14">
        <v>1</v>
      </c>
      <c r="F139" s="14">
        <v>0</v>
      </c>
      <c r="G139" s="14">
        <v>1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27"/>
    </row>
    <row r="140" spans="1:15" s="19" customFormat="1" ht="30" customHeight="1" x14ac:dyDescent="0.25">
      <c r="A140" s="161" t="s">
        <v>19</v>
      </c>
      <c r="B140" s="137" t="s">
        <v>362</v>
      </c>
      <c r="C140" s="127" t="s">
        <v>67</v>
      </c>
      <c r="D140" s="38" t="s">
        <v>14</v>
      </c>
      <c r="E140" s="24">
        <f>'Строительство и реконструкция'!K158</f>
        <v>72801.39</v>
      </c>
      <c r="F140" s="24">
        <f>'Строительство и реконструкция'!L158</f>
        <v>0</v>
      </c>
      <c r="G140" s="24">
        <f>'Строительство и реконструкция'!M158</f>
        <v>16749.740000000002</v>
      </c>
      <c r="H140" s="141">
        <f>'Строительство и реконструкция'!N158</f>
        <v>56051.649999999994</v>
      </c>
      <c r="I140" s="142"/>
      <c r="J140" s="142"/>
      <c r="K140" s="142"/>
      <c r="L140" s="143"/>
      <c r="M140" s="24">
        <f>'Строительство и реконструкция'!O158</f>
        <v>0</v>
      </c>
      <c r="N140" s="24">
        <f>'Строительство и реконструкция'!P158</f>
        <v>0</v>
      </c>
      <c r="O140" s="127" t="s">
        <v>266</v>
      </c>
    </row>
    <row r="141" spans="1:15" s="19" customFormat="1" ht="36" customHeight="1" x14ac:dyDescent="0.25">
      <c r="A141" s="161"/>
      <c r="B141" s="137"/>
      <c r="C141" s="127"/>
      <c r="D141" s="38" t="s">
        <v>10</v>
      </c>
      <c r="E141" s="24">
        <f>'Строительство и реконструкция'!K159</f>
        <v>34976.229999999996</v>
      </c>
      <c r="F141" s="24">
        <f>'Строительство и реконструкция'!L159</f>
        <v>0</v>
      </c>
      <c r="G141" s="24">
        <f>'Строительство и реконструкция'!M159</f>
        <v>0</v>
      </c>
      <c r="H141" s="141">
        <f>'Строительство и реконструкция'!N159</f>
        <v>34976.229999999996</v>
      </c>
      <c r="I141" s="142"/>
      <c r="J141" s="142"/>
      <c r="K141" s="142"/>
      <c r="L141" s="143"/>
      <c r="M141" s="24">
        <f>'Строительство и реконструкция'!O159</f>
        <v>0</v>
      </c>
      <c r="N141" s="24">
        <f>'Строительство и реконструкция'!P159</f>
        <v>0</v>
      </c>
      <c r="O141" s="127"/>
    </row>
    <row r="142" spans="1:15" s="19" customFormat="1" ht="36" customHeight="1" x14ac:dyDescent="0.25">
      <c r="A142" s="161"/>
      <c r="B142" s="137"/>
      <c r="C142" s="127"/>
      <c r="D142" s="38" t="s">
        <v>18</v>
      </c>
      <c r="E142" s="24">
        <f>'Строительство и реконструкция'!K160</f>
        <v>37825.160000000003</v>
      </c>
      <c r="F142" s="24">
        <f>'Строительство и реконструкция'!L160</f>
        <v>0</v>
      </c>
      <c r="G142" s="24">
        <f>'Строительство и реконструкция'!M160</f>
        <v>16749.740000000002</v>
      </c>
      <c r="H142" s="141">
        <f>'Строительство и реконструкция'!N160</f>
        <v>21075.42</v>
      </c>
      <c r="I142" s="142"/>
      <c r="J142" s="142"/>
      <c r="K142" s="142"/>
      <c r="L142" s="143"/>
      <c r="M142" s="24">
        <f>'Строительство и реконструкция'!O160</f>
        <v>0</v>
      </c>
      <c r="N142" s="24">
        <f>'Строительство и реконструкция'!P160</f>
        <v>0</v>
      </c>
      <c r="O142" s="127"/>
    </row>
    <row r="143" spans="1:15" ht="23.25" customHeight="1" x14ac:dyDescent="0.3">
      <c r="A143" s="161"/>
      <c r="B143" s="137" t="s">
        <v>401</v>
      </c>
      <c r="C143" s="131" t="s">
        <v>101</v>
      </c>
      <c r="D143" s="131" t="s">
        <v>101</v>
      </c>
      <c r="E143" s="126" t="s">
        <v>102</v>
      </c>
      <c r="F143" s="126" t="s">
        <v>103</v>
      </c>
      <c r="G143" s="139" t="s">
        <v>501</v>
      </c>
      <c r="H143" s="132" t="s">
        <v>499</v>
      </c>
      <c r="I143" s="133" t="s">
        <v>332</v>
      </c>
      <c r="J143" s="134"/>
      <c r="K143" s="134"/>
      <c r="L143" s="135"/>
      <c r="M143" s="126" t="s">
        <v>105</v>
      </c>
      <c r="N143" s="126" t="s">
        <v>106</v>
      </c>
      <c r="O143" s="127"/>
    </row>
    <row r="144" spans="1:15" ht="23.25" customHeight="1" x14ac:dyDescent="0.3">
      <c r="A144" s="161"/>
      <c r="B144" s="137"/>
      <c r="C144" s="131"/>
      <c r="D144" s="131"/>
      <c r="E144" s="126"/>
      <c r="F144" s="126"/>
      <c r="G144" s="140"/>
      <c r="H144" s="126"/>
      <c r="I144" s="23" t="s">
        <v>327</v>
      </c>
      <c r="J144" s="23" t="s">
        <v>328</v>
      </c>
      <c r="K144" s="23" t="s">
        <v>329</v>
      </c>
      <c r="L144" s="23" t="s">
        <v>330</v>
      </c>
      <c r="M144" s="126"/>
      <c r="N144" s="126"/>
      <c r="O144" s="127"/>
    </row>
    <row r="145" spans="1:15" ht="24.75" customHeight="1" x14ac:dyDescent="0.3">
      <c r="A145" s="161"/>
      <c r="B145" s="137"/>
      <c r="C145" s="131"/>
      <c r="D145" s="131"/>
      <c r="E145" s="14">
        <f>G145+H145+M145+N145</f>
        <v>1</v>
      </c>
      <c r="F145" s="14">
        <v>0</v>
      </c>
      <c r="G145" s="14">
        <v>0</v>
      </c>
      <c r="H145" s="14">
        <v>1</v>
      </c>
      <c r="I145" s="14">
        <v>0</v>
      </c>
      <c r="J145" s="14">
        <v>0</v>
      </c>
      <c r="K145" s="14">
        <v>0</v>
      </c>
      <c r="L145" s="14">
        <v>1</v>
      </c>
      <c r="M145" s="14">
        <v>0</v>
      </c>
      <c r="N145" s="14">
        <v>0</v>
      </c>
      <c r="O145" s="127"/>
    </row>
    <row r="146" spans="1:15" s="19" customFormat="1" ht="30" customHeight="1" x14ac:dyDescent="0.25">
      <c r="A146" s="161" t="s">
        <v>29</v>
      </c>
      <c r="B146" s="137" t="s">
        <v>525</v>
      </c>
      <c r="C146" s="127" t="s">
        <v>67</v>
      </c>
      <c r="D146" s="38" t="s">
        <v>14</v>
      </c>
      <c r="E146" s="24">
        <f>'Строительство и реконструкция'!K186</f>
        <v>1344419.0299999998</v>
      </c>
      <c r="F146" s="24">
        <f>'Строительство и реконструкция'!L186</f>
        <v>0</v>
      </c>
      <c r="G146" s="24">
        <f>'Строительство и реконструкция'!M186</f>
        <v>48124.959999999992</v>
      </c>
      <c r="H146" s="132">
        <f>'Строительство и реконструкция'!N186</f>
        <v>590552.76</v>
      </c>
      <c r="I146" s="132"/>
      <c r="J146" s="132"/>
      <c r="K146" s="132"/>
      <c r="L146" s="132"/>
      <c r="M146" s="24">
        <f>'Строительство и реконструкция'!O186</f>
        <v>705741.31</v>
      </c>
      <c r="N146" s="24">
        <f>'Строительство и реконструкция'!P186</f>
        <v>0</v>
      </c>
      <c r="O146" s="127" t="s">
        <v>266</v>
      </c>
    </row>
    <row r="147" spans="1:15" s="19" customFormat="1" ht="36" customHeight="1" x14ac:dyDescent="0.25">
      <c r="A147" s="161"/>
      <c r="B147" s="137"/>
      <c r="C147" s="127"/>
      <c r="D147" s="38" t="s">
        <v>10</v>
      </c>
      <c r="E147" s="24">
        <f>'Строительство и реконструкция'!K187</f>
        <v>829869.40999999992</v>
      </c>
      <c r="F147" s="24">
        <f>'Строительство и реконструкция'!L187</f>
        <v>0</v>
      </c>
      <c r="G147" s="24">
        <f>'Строительство и реконструкция'!M187</f>
        <v>30029.979999999996</v>
      </c>
      <c r="H147" s="132">
        <f>'Строительство и реконструкция'!N187</f>
        <v>361580.51000000007</v>
      </c>
      <c r="I147" s="132"/>
      <c r="J147" s="132"/>
      <c r="K147" s="132"/>
      <c r="L147" s="132"/>
      <c r="M147" s="24">
        <f>'Строительство и реконструкция'!O187</f>
        <v>438258.92000000004</v>
      </c>
      <c r="N147" s="24">
        <f>'Строительство и реконструкция'!P187</f>
        <v>0</v>
      </c>
      <c r="O147" s="127"/>
    </row>
    <row r="148" spans="1:15" s="19" customFormat="1" ht="36" customHeight="1" x14ac:dyDescent="0.25">
      <c r="A148" s="161"/>
      <c r="B148" s="137"/>
      <c r="C148" s="127"/>
      <c r="D148" s="38" t="s">
        <v>18</v>
      </c>
      <c r="E148" s="24">
        <f>'Строительство и реконструкция'!K188</f>
        <v>514549.61999999994</v>
      </c>
      <c r="F148" s="24">
        <f>'Строительство и реконструкция'!L188</f>
        <v>0</v>
      </c>
      <c r="G148" s="24">
        <f>'Строительство и реконструкция'!M188</f>
        <v>18094.98</v>
      </c>
      <c r="H148" s="132">
        <f>'Строительство и реконструкция'!N188</f>
        <v>228972.24999999997</v>
      </c>
      <c r="I148" s="132"/>
      <c r="J148" s="132"/>
      <c r="K148" s="132"/>
      <c r="L148" s="132"/>
      <c r="M148" s="24">
        <f>'Строительство и реконструкция'!O188</f>
        <v>267482.39</v>
      </c>
      <c r="N148" s="24">
        <f>'Строительство и реконструкция'!P188</f>
        <v>0</v>
      </c>
      <c r="O148" s="127"/>
    </row>
    <row r="149" spans="1:15" ht="23.25" customHeight="1" x14ac:dyDescent="0.3">
      <c r="A149" s="161"/>
      <c r="B149" s="137" t="s">
        <v>399</v>
      </c>
      <c r="C149" s="131" t="s">
        <v>101</v>
      </c>
      <c r="D149" s="131" t="s">
        <v>101</v>
      </c>
      <c r="E149" s="126" t="s">
        <v>102</v>
      </c>
      <c r="F149" s="126" t="s">
        <v>103</v>
      </c>
      <c r="G149" s="132" t="s">
        <v>501</v>
      </c>
      <c r="H149" s="132" t="s">
        <v>499</v>
      </c>
      <c r="I149" s="126" t="s">
        <v>332</v>
      </c>
      <c r="J149" s="126"/>
      <c r="K149" s="126"/>
      <c r="L149" s="126"/>
      <c r="M149" s="126" t="s">
        <v>105</v>
      </c>
      <c r="N149" s="126" t="s">
        <v>106</v>
      </c>
      <c r="O149" s="127"/>
    </row>
    <row r="150" spans="1:15" ht="23.25" customHeight="1" x14ac:dyDescent="0.3">
      <c r="A150" s="161"/>
      <c r="B150" s="137"/>
      <c r="C150" s="131"/>
      <c r="D150" s="131"/>
      <c r="E150" s="126"/>
      <c r="F150" s="126"/>
      <c r="G150" s="126"/>
      <c r="H150" s="126"/>
      <c r="I150" s="21" t="s">
        <v>327</v>
      </c>
      <c r="J150" s="21" t="s">
        <v>328</v>
      </c>
      <c r="K150" s="21" t="s">
        <v>329</v>
      </c>
      <c r="L150" s="21" t="s">
        <v>330</v>
      </c>
      <c r="M150" s="126"/>
      <c r="N150" s="126"/>
      <c r="O150" s="127"/>
    </row>
    <row r="151" spans="1:15" ht="24.75" customHeight="1" x14ac:dyDescent="0.3">
      <c r="A151" s="161"/>
      <c r="B151" s="137"/>
      <c r="C151" s="131"/>
      <c r="D151" s="131"/>
      <c r="E151" s="14">
        <f>G151+H151+M151+N151</f>
        <v>8</v>
      </c>
      <c r="F151" s="14">
        <v>0</v>
      </c>
      <c r="G151" s="14">
        <v>0</v>
      </c>
      <c r="H151" s="14">
        <v>1</v>
      </c>
      <c r="I151" s="14">
        <v>0</v>
      </c>
      <c r="J151" s="14">
        <v>0</v>
      </c>
      <c r="K151" s="14">
        <v>0</v>
      </c>
      <c r="L151" s="14">
        <v>1</v>
      </c>
      <c r="M151" s="14">
        <v>7</v>
      </c>
      <c r="N151" s="14">
        <v>0</v>
      </c>
      <c r="O151" s="127"/>
    </row>
    <row r="152" spans="1:15" s="19" customFormat="1" ht="30" customHeight="1" x14ac:dyDescent="0.25">
      <c r="A152" s="161" t="s">
        <v>33</v>
      </c>
      <c r="B152" s="137" t="s">
        <v>487</v>
      </c>
      <c r="C152" s="127" t="s">
        <v>67</v>
      </c>
      <c r="D152" s="38" t="s">
        <v>14</v>
      </c>
      <c r="E152" s="24">
        <f>'Капитальный ремонт'!E29</f>
        <v>52559.31</v>
      </c>
      <c r="F152" s="24">
        <f>'Строительство и реконструкция'!L183</f>
        <v>0</v>
      </c>
      <c r="G152" s="24">
        <f>'Капитальный ремонт'!G29</f>
        <v>21332.68</v>
      </c>
      <c r="H152" s="132">
        <f>'Капитальный ремонт'!H29</f>
        <v>20958.239999999998</v>
      </c>
      <c r="I152" s="132"/>
      <c r="J152" s="132"/>
      <c r="K152" s="132"/>
      <c r="L152" s="132"/>
      <c r="M152" s="24">
        <f>'Капитальный ремонт'!I29</f>
        <v>10268.390000000001</v>
      </c>
      <c r="N152" s="24">
        <f>'Строительство и реконструкция'!P183</f>
        <v>0</v>
      </c>
      <c r="O152" s="127" t="s">
        <v>404</v>
      </c>
    </row>
    <row r="153" spans="1:15" s="19" customFormat="1" ht="36" customHeight="1" x14ac:dyDescent="0.25">
      <c r="A153" s="161"/>
      <c r="B153" s="137"/>
      <c r="C153" s="127"/>
      <c r="D153" s="38" t="s">
        <v>10</v>
      </c>
      <c r="E153" s="24">
        <f>'Капитальный ремонт'!E30</f>
        <v>28786.43</v>
      </c>
      <c r="F153" s="24">
        <f>'Строительство и реконструкция'!L184</f>
        <v>0</v>
      </c>
      <c r="G153" s="24">
        <f>'Капитальный ремонт'!G30</f>
        <v>13311.579999999998</v>
      </c>
      <c r="H153" s="132">
        <f>'Капитальный ремонт'!H30</f>
        <v>10366.23</v>
      </c>
      <c r="I153" s="132"/>
      <c r="J153" s="132"/>
      <c r="K153" s="132"/>
      <c r="L153" s="132"/>
      <c r="M153" s="24">
        <f>'Капитальный ремонт'!I30</f>
        <v>5108.6200000000008</v>
      </c>
      <c r="N153" s="24">
        <f>'Строительство и реконструкция'!P184</f>
        <v>0</v>
      </c>
      <c r="O153" s="127"/>
    </row>
    <row r="154" spans="1:15" s="19" customFormat="1" ht="36" customHeight="1" x14ac:dyDescent="0.25">
      <c r="A154" s="161"/>
      <c r="B154" s="137"/>
      <c r="C154" s="127"/>
      <c r="D154" s="38" t="s">
        <v>18</v>
      </c>
      <c r="E154" s="24">
        <f>'Капитальный ремонт'!E31</f>
        <v>23772.880000000001</v>
      </c>
      <c r="F154" s="24">
        <f>'Строительство и реконструкция'!L185</f>
        <v>0</v>
      </c>
      <c r="G154" s="24">
        <f>'Капитальный ремонт'!G31</f>
        <v>8021.1</v>
      </c>
      <c r="H154" s="132">
        <f>'Капитальный ремонт'!H31</f>
        <v>10592.01</v>
      </c>
      <c r="I154" s="132"/>
      <c r="J154" s="132"/>
      <c r="K154" s="132"/>
      <c r="L154" s="132"/>
      <c r="M154" s="24">
        <f>'Капитальный ремонт'!I31</f>
        <v>5159.7700000000004</v>
      </c>
      <c r="N154" s="24">
        <f>'Строительство и реконструкция'!P185</f>
        <v>0</v>
      </c>
      <c r="O154" s="127"/>
    </row>
    <row r="155" spans="1:15" ht="27.75" customHeight="1" x14ac:dyDescent="0.3">
      <c r="A155" s="161"/>
      <c r="B155" s="137" t="s">
        <v>497</v>
      </c>
      <c r="C155" s="131" t="s">
        <v>101</v>
      </c>
      <c r="D155" s="131" t="s">
        <v>101</v>
      </c>
      <c r="E155" s="126" t="s">
        <v>102</v>
      </c>
      <c r="F155" s="126" t="s">
        <v>103</v>
      </c>
      <c r="G155" s="132" t="s">
        <v>501</v>
      </c>
      <c r="H155" s="132" t="s">
        <v>499</v>
      </c>
      <c r="I155" s="126" t="s">
        <v>332</v>
      </c>
      <c r="J155" s="126"/>
      <c r="K155" s="126"/>
      <c r="L155" s="126"/>
      <c r="M155" s="126" t="s">
        <v>105</v>
      </c>
      <c r="N155" s="126" t="s">
        <v>106</v>
      </c>
      <c r="O155" s="127"/>
    </row>
    <row r="156" spans="1:15" ht="27.75" customHeight="1" x14ac:dyDescent="0.3">
      <c r="A156" s="161"/>
      <c r="B156" s="137"/>
      <c r="C156" s="131"/>
      <c r="D156" s="131"/>
      <c r="E156" s="126"/>
      <c r="F156" s="126"/>
      <c r="G156" s="126"/>
      <c r="H156" s="126"/>
      <c r="I156" s="21" t="s">
        <v>327</v>
      </c>
      <c r="J156" s="21" t="s">
        <v>328</v>
      </c>
      <c r="K156" s="21" t="s">
        <v>329</v>
      </c>
      <c r="L156" s="21" t="s">
        <v>330</v>
      </c>
      <c r="M156" s="126"/>
      <c r="N156" s="126"/>
      <c r="O156" s="127"/>
    </row>
    <row r="157" spans="1:15" ht="30.75" customHeight="1" x14ac:dyDescent="0.3">
      <c r="A157" s="161"/>
      <c r="B157" s="137"/>
      <c r="C157" s="131"/>
      <c r="D157" s="131"/>
      <c r="E157" s="14">
        <f>G157+H157+M157+N157</f>
        <v>4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4</v>
      </c>
      <c r="N157" s="14">
        <v>0</v>
      </c>
      <c r="O157" s="127"/>
    </row>
    <row r="158" spans="1:15" s="19" customFormat="1" ht="30" customHeight="1" x14ac:dyDescent="0.25">
      <c r="A158" s="146" t="s">
        <v>34</v>
      </c>
      <c r="B158" s="137" t="s">
        <v>584</v>
      </c>
      <c r="C158" s="127" t="s">
        <v>67</v>
      </c>
      <c r="D158" s="38" t="s">
        <v>14</v>
      </c>
      <c r="E158" s="24">
        <f>'Строительство и реконструкция'!K190</f>
        <v>1168.2996000000001</v>
      </c>
      <c r="F158" s="24">
        <f>F159+F160</f>
        <v>0</v>
      </c>
      <c r="G158" s="24">
        <f>G159+G160</f>
        <v>0</v>
      </c>
      <c r="H158" s="132">
        <f>'Строительство и реконструкция'!N190</f>
        <v>1168.2996000000001</v>
      </c>
      <c r="I158" s="132"/>
      <c r="J158" s="132"/>
      <c r="K158" s="132"/>
      <c r="L158" s="132"/>
      <c r="M158" s="24">
        <f>M159+M160</f>
        <v>0</v>
      </c>
      <c r="N158" s="24">
        <f>N159+N160</f>
        <v>0</v>
      </c>
      <c r="O158" s="153" t="s">
        <v>266</v>
      </c>
    </row>
    <row r="159" spans="1:15" s="19" customFormat="1" ht="36" customHeight="1" x14ac:dyDescent="0.25">
      <c r="A159" s="147"/>
      <c r="B159" s="137"/>
      <c r="C159" s="127"/>
      <c r="D159" s="38" t="s">
        <v>10</v>
      </c>
      <c r="E159" s="24">
        <f>'Строительство и реконструкция'!K191</f>
        <v>0</v>
      </c>
      <c r="F159" s="24">
        <v>0</v>
      </c>
      <c r="G159" s="24">
        <v>0</v>
      </c>
      <c r="H159" s="132">
        <f>'Строительство и реконструкция'!N191</f>
        <v>0</v>
      </c>
      <c r="I159" s="132"/>
      <c r="J159" s="132"/>
      <c r="K159" s="132"/>
      <c r="L159" s="132"/>
      <c r="M159" s="24">
        <v>0</v>
      </c>
      <c r="N159" s="24">
        <v>0</v>
      </c>
      <c r="O159" s="154"/>
    </row>
    <row r="160" spans="1:15" s="19" customFormat="1" ht="36" customHeight="1" x14ac:dyDescent="0.25">
      <c r="A160" s="148"/>
      <c r="B160" s="137"/>
      <c r="C160" s="127"/>
      <c r="D160" s="38" t="s">
        <v>18</v>
      </c>
      <c r="E160" s="24">
        <f>'Строительство и реконструкция'!K192</f>
        <v>1168.2996000000001</v>
      </c>
      <c r="F160" s="24">
        <v>0</v>
      </c>
      <c r="G160" s="24">
        <v>0</v>
      </c>
      <c r="H160" s="132">
        <f>'Строительство и реконструкция'!N192</f>
        <v>1168.2996000000001</v>
      </c>
      <c r="I160" s="132"/>
      <c r="J160" s="132"/>
      <c r="K160" s="132"/>
      <c r="L160" s="132"/>
      <c r="M160" s="24">
        <v>0</v>
      </c>
      <c r="N160" s="24">
        <v>0</v>
      </c>
      <c r="O160" s="155"/>
    </row>
    <row r="161" spans="1:15" s="19" customFormat="1" ht="30" customHeight="1" x14ac:dyDescent="0.25">
      <c r="A161" s="146" t="s">
        <v>35</v>
      </c>
      <c r="B161" s="128" t="s">
        <v>587</v>
      </c>
      <c r="C161" s="153" t="s">
        <v>67</v>
      </c>
      <c r="D161" s="38" t="s">
        <v>14</v>
      </c>
      <c r="E161" s="24">
        <f>'Строительство и реконструкция'!K206</f>
        <v>25922.267159999999</v>
      </c>
      <c r="F161" s="24">
        <f>'Строительство и реконструкция'!L206</f>
        <v>0</v>
      </c>
      <c r="G161" s="24">
        <f>'Строительство и реконструкция'!M206</f>
        <v>0</v>
      </c>
      <c r="H161" s="141">
        <f>'Строительство и реконструкция'!N206</f>
        <v>19221.789840000001</v>
      </c>
      <c r="I161" s="142"/>
      <c r="J161" s="142"/>
      <c r="K161" s="142"/>
      <c r="L161" s="143"/>
      <c r="M161" s="24">
        <f>'Строительство и реконструкция'!O206</f>
        <v>6700.47732</v>
      </c>
      <c r="N161" s="24">
        <f>'Строительство и реконструкция'!P206</f>
        <v>0</v>
      </c>
      <c r="O161" s="153" t="s">
        <v>266</v>
      </c>
    </row>
    <row r="162" spans="1:15" s="19" customFormat="1" ht="36" customHeight="1" x14ac:dyDescent="0.25">
      <c r="A162" s="147"/>
      <c r="B162" s="129"/>
      <c r="C162" s="154"/>
      <c r="D162" s="38" t="s">
        <v>10</v>
      </c>
      <c r="E162" s="24">
        <f>'Строительство и реконструкция'!K207</f>
        <v>0</v>
      </c>
      <c r="F162" s="24">
        <f>'Строительство и реконструкция'!L207</f>
        <v>0</v>
      </c>
      <c r="G162" s="24">
        <f>'Строительство и реконструкция'!M207</f>
        <v>0</v>
      </c>
      <c r="H162" s="141">
        <f>'Строительство и реконструкция'!N207</f>
        <v>0</v>
      </c>
      <c r="I162" s="142"/>
      <c r="J162" s="142"/>
      <c r="K162" s="142"/>
      <c r="L162" s="143"/>
      <c r="M162" s="24">
        <f>'Строительство и реконструкция'!O207</f>
        <v>0</v>
      </c>
      <c r="N162" s="24">
        <f>'Строительство и реконструкция'!P207</f>
        <v>0</v>
      </c>
      <c r="O162" s="154"/>
    </row>
    <row r="163" spans="1:15" s="19" customFormat="1" ht="36" customHeight="1" x14ac:dyDescent="0.25">
      <c r="A163" s="148"/>
      <c r="B163" s="130"/>
      <c r="C163" s="155"/>
      <c r="D163" s="38" t="s">
        <v>18</v>
      </c>
      <c r="E163" s="24">
        <f>'Строительство и реконструкция'!K208</f>
        <v>25922.267159999999</v>
      </c>
      <c r="F163" s="24">
        <f>'Строительство и реконструкция'!L208</f>
        <v>0</v>
      </c>
      <c r="G163" s="24">
        <f>'Строительство и реконструкция'!M208</f>
        <v>0</v>
      </c>
      <c r="H163" s="141">
        <f>'Строительство и реконструкция'!N208</f>
        <v>19221.789840000001</v>
      </c>
      <c r="I163" s="142"/>
      <c r="J163" s="142"/>
      <c r="K163" s="142"/>
      <c r="L163" s="143"/>
      <c r="M163" s="24">
        <f>'Строительство и реконструкция'!O208</f>
        <v>6700.47732</v>
      </c>
      <c r="N163" s="24">
        <f>'Строительство и реконструкция'!P208</f>
        <v>0</v>
      </c>
      <c r="O163" s="155"/>
    </row>
    <row r="164" spans="1:15" s="19" customFormat="1" ht="36" customHeight="1" x14ac:dyDescent="0.25">
      <c r="A164" s="161" t="s">
        <v>23</v>
      </c>
      <c r="B164" s="137" t="s">
        <v>312</v>
      </c>
      <c r="C164" s="127" t="s">
        <v>67</v>
      </c>
      <c r="D164" s="38" t="s">
        <v>14</v>
      </c>
      <c r="E164" s="24">
        <f>E168+E175+E182+E186+E214+E207+E193+E200</f>
        <v>6039298.7933300007</v>
      </c>
      <c r="F164" s="24">
        <f>F168+F175+F182+F186+F214</f>
        <v>66344.412519999998</v>
      </c>
      <c r="G164" s="24">
        <f>G168+G175+G182+G186+G214+G207+G193+G200</f>
        <v>1088778.2908099999</v>
      </c>
      <c r="H164" s="141">
        <f>H168+H175+H193+H200+H207+H186+H214</f>
        <v>2732049.7399999998</v>
      </c>
      <c r="I164" s="142"/>
      <c r="J164" s="142"/>
      <c r="K164" s="142"/>
      <c r="L164" s="143"/>
      <c r="M164" s="24">
        <f t="shared" ref="M164:N166" si="31">M168+M175</f>
        <v>779512.14</v>
      </c>
      <c r="N164" s="24">
        <f t="shared" si="31"/>
        <v>1166380.78</v>
      </c>
      <c r="O164" s="127"/>
    </row>
    <row r="165" spans="1:15" s="19" customFormat="1" ht="36" customHeight="1" x14ac:dyDescent="0.25">
      <c r="A165" s="161"/>
      <c r="B165" s="137"/>
      <c r="C165" s="127"/>
      <c r="D165" s="38" t="s">
        <v>10</v>
      </c>
      <c r="E165" s="24">
        <f>E169+E176+E183+E187+E215+E208+E194+E201</f>
        <v>4002975.7800000003</v>
      </c>
      <c r="F165" s="24">
        <f>F169+F176+F183+F187+F215</f>
        <v>23467.279999999999</v>
      </c>
      <c r="G165" s="24">
        <f>G169+G176+G183+G187+G215+G208+G194+G201</f>
        <v>667907.63</v>
      </c>
      <c r="H165" s="141">
        <f>H169+H176+H194+H201+H208+H187+H215</f>
        <v>1780511.4599999997</v>
      </c>
      <c r="I165" s="142"/>
      <c r="J165" s="142"/>
      <c r="K165" s="142"/>
      <c r="L165" s="143"/>
      <c r="M165" s="24">
        <f>M169+M176+M187+M194+M201</f>
        <v>780328.39999999991</v>
      </c>
      <c r="N165" s="24">
        <f t="shared" si="31"/>
        <v>750761.01</v>
      </c>
      <c r="O165" s="127"/>
    </row>
    <row r="166" spans="1:15" s="19" customFormat="1" ht="36" customHeight="1" x14ac:dyDescent="0.25">
      <c r="A166" s="161"/>
      <c r="B166" s="137"/>
      <c r="C166" s="127"/>
      <c r="D166" s="38" t="s">
        <v>18</v>
      </c>
      <c r="E166" s="24">
        <f>E170+E177+E184+E188+E216+E209+E195+E202</f>
        <v>2036323.0133300002</v>
      </c>
      <c r="F166" s="24">
        <f>F170+F177+F184+F188+F216</f>
        <v>42877.132519999999</v>
      </c>
      <c r="G166" s="24">
        <f>G170+G177+G184+G188+G216+G209+G195+G202</f>
        <v>420870.66081000003</v>
      </c>
      <c r="H166" s="141">
        <f>H170+H177+H195+H202+H209+H188+H216</f>
        <v>951538.28</v>
      </c>
      <c r="I166" s="142"/>
      <c r="J166" s="142"/>
      <c r="K166" s="142"/>
      <c r="L166" s="143"/>
      <c r="M166" s="24">
        <f>M170+M177+M188+M195+M202</f>
        <v>205417.17</v>
      </c>
      <c r="N166" s="24">
        <f t="shared" si="31"/>
        <v>415619.77</v>
      </c>
      <c r="O166" s="127"/>
    </row>
    <row r="167" spans="1:15" s="19" customFormat="1" ht="36" customHeight="1" x14ac:dyDescent="0.25">
      <c r="A167" s="161"/>
      <c r="B167" s="137"/>
      <c r="C167" s="127"/>
      <c r="D167" s="38" t="s">
        <v>12</v>
      </c>
      <c r="E167" s="24">
        <f>F167+G167+H167+M167+N167</f>
        <v>0</v>
      </c>
      <c r="F167" s="24">
        <f>F171+F178</f>
        <v>0</v>
      </c>
      <c r="G167" s="24">
        <f>G171+G178</f>
        <v>0</v>
      </c>
      <c r="H167" s="141">
        <f t="shared" ref="H167:N167" si="32">H171</f>
        <v>0</v>
      </c>
      <c r="I167" s="142"/>
      <c r="J167" s="142"/>
      <c r="K167" s="142"/>
      <c r="L167" s="143"/>
      <c r="M167" s="24">
        <f t="shared" si="32"/>
        <v>0</v>
      </c>
      <c r="N167" s="24">
        <f t="shared" si="32"/>
        <v>0</v>
      </c>
      <c r="O167" s="127"/>
    </row>
    <row r="168" spans="1:15" s="19" customFormat="1" ht="30" customHeight="1" x14ac:dyDescent="0.25">
      <c r="A168" s="161" t="s">
        <v>25</v>
      </c>
      <c r="B168" s="137" t="s">
        <v>78</v>
      </c>
      <c r="C168" s="127" t="s">
        <v>67</v>
      </c>
      <c r="D168" s="38" t="s">
        <v>14</v>
      </c>
      <c r="E168" s="24">
        <f>'Строительство и реконструкция'!K264</f>
        <v>3276455.5825199997</v>
      </c>
      <c r="F168" s="24">
        <f>'Строительство и реконструкция'!L264</f>
        <v>40844.412519999998</v>
      </c>
      <c r="G168" s="24">
        <f>'Строительство и реконструкция'!M264</f>
        <v>276050.99</v>
      </c>
      <c r="H168" s="141">
        <f>'Строительство и реконструкция'!N264</f>
        <v>1054328.95</v>
      </c>
      <c r="I168" s="142"/>
      <c r="J168" s="142"/>
      <c r="K168" s="142"/>
      <c r="L168" s="143"/>
      <c r="M168" s="24">
        <f>'Строительство и реконструкция'!O264</f>
        <v>753850.45000000007</v>
      </c>
      <c r="N168" s="24">
        <f>'Строительство и реконструкция'!P264</f>
        <v>1151380.78</v>
      </c>
      <c r="O168" s="127" t="s">
        <v>267</v>
      </c>
    </row>
    <row r="169" spans="1:15" s="19" customFormat="1" ht="36" customHeight="1" x14ac:dyDescent="0.25">
      <c r="A169" s="161"/>
      <c r="B169" s="137"/>
      <c r="C169" s="127"/>
      <c r="D169" s="38" t="s">
        <v>10</v>
      </c>
      <c r="E169" s="24">
        <f>'Строительство и реконструкция'!K265</f>
        <v>2400441.77</v>
      </c>
      <c r="F169" s="24">
        <f>'Строительство и реконструкция'!L265</f>
        <v>7861.28</v>
      </c>
      <c r="G169" s="24">
        <f>'Строительство и реконструкция'!M265</f>
        <v>227112.63999999998</v>
      </c>
      <c r="H169" s="141">
        <f>'Строительство и реконструкция'!N265</f>
        <v>786801.29</v>
      </c>
      <c r="I169" s="142"/>
      <c r="J169" s="142"/>
      <c r="K169" s="142"/>
      <c r="L169" s="143"/>
      <c r="M169" s="24">
        <f>'Строительство и реконструкция'!O265</f>
        <v>637265.54999999981</v>
      </c>
      <c r="N169" s="24">
        <f>'Строительство и реконструкция'!P265</f>
        <v>741401.01</v>
      </c>
      <c r="O169" s="127"/>
    </row>
    <row r="170" spans="1:15" s="19" customFormat="1" ht="36" customHeight="1" x14ac:dyDescent="0.25">
      <c r="A170" s="161"/>
      <c r="B170" s="137"/>
      <c r="C170" s="127"/>
      <c r="D170" s="38" t="s">
        <v>18</v>
      </c>
      <c r="E170" s="24">
        <f>'Строительство и реконструкция'!K266</f>
        <v>876013.81251999992</v>
      </c>
      <c r="F170" s="24">
        <f>'Строительство и реконструкция'!L266</f>
        <v>32983.132519999999</v>
      </c>
      <c r="G170" s="24">
        <f>'Строительство и реконструкция'!M266</f>
        <v>48938.35</v>
      </c>
      <c r="H170" s="141">
        <f>'Строительство и реконструкция'!N266</f>
        <v>267527.66000000003</v>
      </c>
      <c r="I170" s="142"/>
      <c r="J170" s="142"/>
      <c r="K170" s="142"/>
      <c r="L170" s="143"/>
      <c r="M170" s="24">
        <f>'Строительство и реконструкция'!O266</f>
        <v>116584.90000000001</v>
      </c>
      <c r="N170" s="24">
        <f>'Строительство и реконструкция'!P266</f>
        <v>409979.77</v>
      </c>
      <c r="O170" s="127"/>
    </row>
    <row r="171" spans="1:15" s="19" customFormat="1" ht="36" customHeight="1" x14ac:dyDescent="0.25">
      <c r="A171" s="161"/>
      <c r="B171" s="137"/>
      <c r="C171" s="127"/>
      <c r="D171" s="38" t="s">
        <v>12</v>
      </c>
      <c r="E171" s="24">
        <f>F171+G171+H171+M171+N171</f>
        <v>0</v>
      </c>
      <c r="F171" s="24">
        <v>0</v>
      </c>
      <c r="G171" s="24">
        <v>0</v>
      </c>
      <c r="H171" s="141">
        <v>0</v>
      </c>
      <c r="I171" s="142"/>
      <c r="J171" s="142"/>
      <c r="K171" s="142"/>
      <c r="L171" s="143"/>
      <c r="M171" s="24">
        <v>0</v>
      </c>
      <c r="N171" s="24">
        <v>0</v>
      </c>
      <c r="O171" s="127"/>
    </row>
    <row r="172" spans="1:15" ht="18.75" customHeight="1" x14ac:dyDescent="0.3">
      <c r="A172" s="161"/>
      <c r="B172" s="137" t="s">
        <v>313</v>
      </c>
      <c r="C172" s="131" t="s">
        <v>101</v>
      </c>
      <c r="D172" s="131" t="s">
        <v>101</v>
      </c>
      <c r="E172" s="126" t="s">
        <v>102</v>
      </c>
      <c r="F172" s="126" t="s">
        <v>103</v>
      </c>
      <c r="G172" s="139" t="s">
        <v>501</v>
      </c>
      <c r="H172" s="132" t="s">
        <v>499</v>
      </c>
      <c r="I172" s="133" t="s">
        <v>332</v>
      </c>
      <c r="J172" s="134"/>
      <c r="K172" s="134"/>
      <c r="L172" s="135"/>
      <c r="M172" s="126" t="s">
        <v>105</v>
      </c>
      <c r="N172" s="126" t="s">
        <v>106</v>
      </c>
      <c r="O172" s="127"/>
    </row>
    <row r="173" spans="1:15" ht="18.75" customHeight="1" x14ac:dyDescent="0.3">
      <c r="A173" s="161"/>
      <c r="B173" s="137"/>
      <c r="C173" s="131"/>
      <c r="D173" s="131"/>
      <c r="E173" s="126"/>
      <c r="F173" s="126"/>
      <c r="G173" s="140"/>
      <c r="H173" s="126"/>
      <c r="I173" s="23" t="s">
        <v>327</v>
      </c>
      <c r="J173" s="23" t="s">
        <v>328</v>
      </c>
      <c r="K173" s="23" t="s">
        <v>329</v>
      </c>
      <c r="L173" s="23" t="s">
        <v>330</v>
      </c>
      <c r="M173" s="126"/>
      <c r="N173" s="126"/>
      <c r="O173" s="127"/>
    </row>
    <row r="174" spans="1:15" ht="35.25" customHeight="1" x14ac:dyDescent="0.3">
      <c r="A174" s="161"/>
      <c r="B174" s="137"/>
      <c r="C174" s="131"/>
      <c r="D174" s="131"/>
      <c r="E174" s="14">
        <f>F174+G174+H174+M174+N174</f>
        <v>9</v>
      </c>
      <c r="F174" s="14">
        <v>2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5</v>
      </c>
      <c r="N174" s="14">
        <v>2</v>
      </c>
      <c r="O174" s="127"/>
    </row>
    <row r="175" spans="1:15" s="19" customFormat="1" ht="36" customHeight="1" x14ac:dyDescent="0.25">
      <c r="A175" s="161" t="s">
        <v>26</v>
      </c>
      <c r="B175" s="137" t="s">
        <v>503</v>
      </c>
      <c r="C175" s="161" t="s">
        <v>67</v>
      </c>
      <c r="D175" s="38" t="s">
        <v>14</v>
      </c>
      <c r="E175" s="21">
        <f>F175+G175+H175+M175+N175</f>
        <v>388987.62</v>
      </c>
      <c r="F175" s="21">
        <f>'Капитальный ремонт'!F45:F45</f>
        <v>25500</v>
      </c>
      <c r="G175" s="21">
        <f>'Капитальный ремонт'!G45</f>
        <v>108381.82999999999</v>
      </c>
      <c r="H175" s="133">
        <f>'Капитальный ремонт'!H45</f>
        <v>214444.1</v>
      </c>
      <c r="I175" s="134"/>
      <c r="J175" s="134"/>
      <c r="K175" s="134"/>
      <c r="L175" s="135"/>
      <c r="M175" s="21">
        <f>'Капитальный ремонт'!I45</f>
        <v>25661.69</v>
      </c>
      <c r="N175" s="21">
        <f>'Капитальный ремонт'!J45</f>
        <v>15000</v>
      </c>
      <c r="O175" s="127" t="s">
        <v>268</v>
      </c>
    </row>
    <row r="176" spans="1:15" s="19" customFormat="1" ht="36" customHeight="1" x14ac:dyDescent="0.25">
      <c r="A176" s="161"/>
      <c r="B176" s="137"/>
      <c r="C176" s="161"/>
      <c r="D176" s="38" t="s">
        <v>10</v>
      </c>
      <c r="E176" s="21">
        <f>F176+G176+H176+M176+N176</f>
        <v>176457.00999999998</v>
      </c>
      <c r="F176" s="21">
        <f>'Капитальный ремонт'!F46:F46</f>
        <v>15606</v>
      </c>
      <c r="G176" s="21">
        <f>'Капитальный ремонт'!G46</f>
        <v>1665.03</v>
      </c>
      <c r="H176" s="133">
        <f>'Капитальный ремонт'!H46</f>
        <v>133813.09999999998</v>
      </c>
      <c r="I176" s="134"/>
      <c r="J176" s="134"/>
      <c r="K176" s="134"/>
      <c r="L176" s="135"/>
      <c r="M176" s="21">
        <f>'Капитальный ремонт'!I46</f>
        <v>16012.880000000001</v>
      </c>
      <c r="N176" s="21">
        <f>'Капитальный ремонт'!J46</f>
        <v>9360</v>
      </c>
      <c r="O176" s="127"/>
    </row>
    <row r="177" spans="1:16" s="19" customFormat="1" ht="36" customHeight="1" x14ac:dyDescent="0.25">
      <c r="A177" s="161"/>
      <c r="B177" s="137"/>
      <c r="C177" s="161"/>
      <c r="D177" s="38" t="s">
        <v>18</v>
      </c>
      <c r="E177" s="21">
        <f>F177+G177+H177+M177+N177</f>
        <v>212530.61</v>
      </c>
      <c r="F177" s="21">
        <f>'Капитальный ремонт'!F47:F47</f>
        <v>9894</v>
      </c>
      <c r="G177" s="21">
        <f>'Капитальный ремонт'!G47</f>
        <v>106716.79999999999</v>
      </c>
      <c r="H177" s="133">
        <f>'Капитальный ремонт'!H47</f>
        <v>80631</v>
      </c>
      <c r="I177" s="134"/>
      <c r="J177" s="134"/>
      <c r="K177" s="134"/>
      <c r="L177" s="135"/>
      <c r="M177" s="21">
        <f>'Капитальный ремонт'!I47</f>
        <v>9648.81</v>
      </c>
      <c r="N177" s="21">
        <f>'Капитальный ремонт'!J47</f>
        <v>5640</v>
      </c>
      <c r="O177" s="127"/>
    </row>
    <row r="178" spans="1:16" s="19" customFormat="1" ht="31.5" customHeight="1" x14ac:dyDescent="0.25">
      <c r="A178" s="161"/>
      <c r="B178" s="137"/>
      <c r="C178" s="161"/>
      <c r="D178" s="38" t="s">
        <v>12</v>
      </c>
      <c r="E178" s="21">
        <f>F178+G178+H178+M178+N178</f>
        <v>0</v>
      </c>
      <c r="F178" s="21">
        <f>'Капитальный ремонт'!F48:F48</f>
        <v>0</v>
      </c>
      <c r="G178" s="21">
        <f>'Капитальный ремонт'!G48</f>
        <v>0</v>
      </c>
      <c r="H178" s="133">
        <f>'Капитальный ремонт'!H48</f>
        <v>0</v>
      </c>
      <c r="I178" s="134"/>
      <c r="J178" s="134"/>
      <c r="K178" s="134"/>
      <c r="L178" s="135"/>
      <c r="M178" s="21">
        <f>'Капитальный ремонт'!I48</f>
        <v>0</v>
      </c>
      <c r="N178" s="21">
        <f>'Капитальный ремонт'!J48</f>
        <v>0</v>
      </c>
      <c r="O178" s="127"/>
    </row>
    <row r="179" spans="1:16" ht="23.25" customHeight="1" x14ac:dyDescent="0.3">
      <c r="A179" s="161"/>
      <c r="B179" s="137" t="s">
        <v>504</v>
      </c>
      <c r="C179" s="131" t="s">
        <v>101</v>
      </c>
      <c r="D179" s="131" t="s">
        <v>101</v>
      </c>
      <c r="E179" s="126" t="s">
        <v>102</v>
      </c>
      <c r="F179" s="126" t="s">
        <v>103</v>
      </c>
      <c r="G179" s="139" t="s">
        <v>501</v>
      </c>
      <c r="H179" s="132" t="s">
        <v>499</v>
      </c>
      <c r="I179" s="133" t="s">
        <v>332</v>
      </c>
      <c r="J179" s="134"/>
      <c r="K179" s="134"/>
      <c r="L179" s="135"/>
      <c r="M179" s="126" t="s">
        <v>105</v>
      </c>
      <c r="N179" s="126" t="s">
        <v>106</v>
      </c>
      <c r="O179" s="127"/>
    </row>
    <row r="180" spans="1:16" ht="15.75" customHeight="1" x14ac:dyDescent="0.3">
      <c r="A180" s="161"/>
      <c r="B180" s="137"/>
      <c r="C180" s="131"/>
      <c r="D180" s="131"/>
      <c r="E180" s="126"/>
      <c r="F180" s="126"/>
      <c r="G180" s="140"/>
      <c r="H180" s="126"/>
      <c r="I180" s="23" t="s">
        <v>327</v>
      </c>
      <c r="J180" s="23" t="s">
        <v>328</v>
      </c>
      <c r="K180" s="23" t="s">
        <v>329</v>
      </c>
      <c r="L180" s="23" t="s">
        <v>330</v>
      </c>
      <c r="M180" s="126"/>
      <c r="N180" s="126"/>
      <c r="O180" s="127"/>
    </row>
    <row r="181" spans="1:16" ht="27.75" customHeight="1" x14ac:dyDescent="0.3">
      <c r="A181" s="161"/>
      <c r="B181" s="137"/>
      <c r="C181" s="131"/>
      <c r="D181" s="131"/>
      <c r="E181" s="14">
        <f>F181+G181+H181+M181+N181</f>
        <v>6</v>
      </c>
      <c r="F181" s="14">
        <v>0</v>
      </c>
      <c r="G181" s="14">
        <v>0</v>
      </c>
      <c r="H181" s="14">
        <f>I181+J181+L181</f>
        <v>3</v>
      </c>
      <c r="I181" s="14">
        <v>0</v>
      </c>
      <c r="J181" s="14">
        <v>0</v>
      </c>
      <c r="K181" s="14">
        <v>0</v>
      </c>
      <c r="L181" s="14">
        <v>3</v>
      </c>
      <c r="M181" s="14">
        <v>2</v>
      </c>
      <c r="N181" s="14">
        <v>1</v>
      </c>
      <c r="O181" s="127"/>
    </row>
    <row r="182" spans="1:16" s="19" customFormat="1" ht="36" customHeight="1" x14ac:dyDescent="0.25">
      <c r="A182" s="161" t="s">
        <v>79</v>
      </c>
      <c r="B182" s="137" t="s">
        <v>526</v>
      </c>
      <c r="C182" s="161" t="s">
        <v>67</v>
      </c>
      <c r="D182" s="38" t="s">
        <v>14</v>
      </c>
      <c r="E182" s="21">
        <f>G182</f>
        <v>64.670809999999989</v>
      </c>
      <c r="F182" s="21">
        <f>'Капитальный ремонт'!F48:F48</f>
        <v>0</v>
      </c>
      <c r="G182" s="21">
        <f>G184</f>
        <v>64.670809999999989</v>
      </c>
      <c r="H182" s="133">
        <f>'Капитальный ремонт'!H48</f>
        <v>0</v>
      </c>
      <c r="I182" s="134"/>
      <c r="J182" s="134"/>
      <c r="K182" s="134"/>
      <c r="L182" s="135"/>
      <c r="M182" s="21">
        <f>'Капитальный ремонт'!I48</f>
        <v>0</v>
      </c>
      <c r="N182" s="21">
        <f>'Капитальный ремонт'!J48</f>
        <v>0</v>
      </c>
      <c r="O182" s="127" t="s">
        <v>517</v>
      </c>
    </row>
    <row r="183" spans="1:16" s="19" customFormat="1" ht="36" customHeight="1" x14ac:dyDescent="0.25">
      <c r="A183" s="161"/>
      <c r="B183" s="137"/>
      <c r="C183" s="161"/>
      <c r="D183" s="38" t="s">
        <v>10</v>
      </c>
      <c r="E183" s="21">
        <v>0</v>
      </c>
      <c r="F183" s="21">
        <v>0</v>
      </c>
      <c r="G183" s="21">
        <v>0</v>
      </c>
      <c r="H183" s="133">
        <v>0</v>
      </c>
      <c r="I183" s="134"/>
      <c r="J183" s="134"/>
      <c r="K183" s="134"/>
      <c r="L183" s="135"/>
      <c r="M183" s="21">
        <v>0</v>
      </c>
      <c r="N183" s="21">
        <v>0</v>
      </c>
      <c r="O183" s="127"/>
    </row>
    <row r="184" spans="1:16" s="19" customFormat="1" ht="36" customHeight="1" x14ac:dyDescent="0.25">
      <c r="A184" s="161"/>
      <c r="B184" s="137"/>
      <c r="C184" s="161"/>
      <c r="D184" s="38" t="s">
        <v>18</v>
      </c>
      <c r="E184" s="21">
        <f>G184</f>
        <v>64.670809999999989</v>
      </c>
      <c r="F184" s="21">
        <v>0</v>
      </c>
      <c r="G184" s="21">
        <v>64.670809999999989</v>
      </c>
      <c r="H184" s="133">
        <v>0</v>
      </c>
      <c r="I184" s="134"/>
      <c r="J184" s="134"/>
      <c r="K184" s="134"/>
      <c r="L184" s="135"/>
      <c r="M184" s="21">
        <v>0</v>
      </c>
      <c r="N184" s="21">
        <v>0</v>
      </c>
      <c r="O184" s="127"/>
    </row>
    <row r="185" spans="1:16" s="19" customFormat="1" ht="31.5" customHeight="1" x14ac:dyDescent="0.25">
      <c r="A185" s="161"/>
      <c r="B185" s="137"/>
      <c r="C185" s="161"/>
      <c r="D185" s="38" t="s">
        <v>12</v>
      </c>
      <c r="E185" s="21">
        <v>0</v>
      </c>
      <c r="F185" s="21">
        <v>0</v>
      </c>
      <c r="G185" s="21">
        <v>0</v>
      </c>
      <c r="H185" s="133">
        <v>0</v>
      </c>
      <c r="I185" s="134"/>
      <c r="J185" s="134"/>
      <c r="K185" s="134"/>
      <c r="L185" s="135"/>
      <c r="M185" s="21">
        <v>0</v>
      </c>
      <c r="N185" s="21">
        <v>0</v>
      </c>
      <c r="O185" s="127"/>
    </row>
    <row r="186" spans="1:16" s="19" customFormat="1" ht="28.5" customHeight="1" x14ac:dyDescent="0.25">
      <c r="A186" s="160" t="s">
        <v>92</v>
      </c>
      <c r="B186" s="137" t="s">
        <v>355</v>
      </c>
      <c r="C186" s="161" t="s">
        <v>67</v>
      </c>
      <c r="D186" s="38" t="s">
        <v>14</v>
      </c>
      <c r="E186" s="21">
        <f>'Строительство и реконструкция'!K268</f>
        <v>30422.39</v>
      </c>
      <c r="F186" s="21">
        <f>'Строительство и реконструкция'!L268</f>
        <v>0</v>
      </c>
      <c r="G186" s="21">
        <f>'Строительство и реконструкция'!M268</f>
        <v>27425.89</v>
      </c>
      <c r="H186" s="133">
        <f>'Строительство и реконструкция'!N271</f>
        <v>2996.5</v>
      </c>
      <c r="I186" s="134"/>
      <c r="J186" s="134"/>
      <c r="K186" s="134"/>
      <c r="L186" s="135"/>
      <c r="M186" s="21">
        <v>0</v>
      </c>
      <c r="N186" s="21">
        <v>0</v>
      </c>
      <c r="O186" s="127" t="s">
        <v>266</v>
      </c>
    </row>
    <row r="187" spans="1:16" s="19" customFormat="1" ht="36" customHeight="1" x14ac:dyDescent="0.25">
      <c r="A187" s="161"/>
      <c r="B187" s="137"/>
      <c r="C187" s="161"/>
      <c r="D187" s="38" t="s">
        <v>10</v>
      </c>
      <c r="E187" s="21">
        <f>'Строительство и реконструкция'!K269</f>
        <v>18101.329999999998</v>
      </c>
      <c r="F187" s="21">
        <f>'Строительство и реконструкция'!L269</f>
        <v>0</v>
      </c>
      <c r="G187" s="21">
        <f>'Строительство и реконструкция'!M269</f>
        <v>16772.439999999999</v>
      </c>
      <c r="H187" s="133">
        <f>'Строительство и реконструкция'!N272</f>
        <v>1328.89</v>
      </c>
      <c r="I187" s="134"/>
      <c r="J187" s="134"/>
      <c r="K187" s="134"/>
      <c r="L187" s="135"/>
      <c r="M187" s="21">
        <v>0</v>
      </c>
      <c r="N187" s="21">
        <v>0</v>
      </c>
      <c r="O187" s="127"/>
    </row>
    <row r="188" spans="1:16" s="19" customFormat="1" ht="36" customHeight="1" x14ac:dyDescent="0.25">
      <c r="A188" s="161"/>
      <c r="B188" s="137"/>
      <c r="C188" s="161"/>
      <c r="D188" s="38" t="s">
        <v>18</v>
      </c>
      <c r="E188" s="21">
        <f>'Строительство и реконструкция'!K270</f>
        <v>12321.060000000001</v>
      </c>
      <c r="F188" s="21">
        <f>'Строительство и реконструкция'!L270</f>
        <v>0</v>
      </c>
      <c r="G188" s="21">
        <f>'Строительство и реконструкция'!M270</f>
        <v>10653.45</v>
      </c>
      <c r="H188" s="133">
        <f>'Строительство и реконструкция'!N273</f>
        <v>1667.6100000000001</v>
      </c>
      <c r="I188" s="134"/>
      <c r="J188" s="134"/>
      <c r="K188" s="134"/>
      <c r="L188" s="135"/>
      <c r="M188" s="21">
        <v>0</v>
      </c>
      <c r="N188" s="21">
        <v>0</v>
      </c>
      <c r="O188" s="127"/>
    </row>
    <row r="189" spans="1:16" s="19" customFormat="1" ht="23.25" customHeight="1" x14ac:dyDescent="0.25">
      <c r="A189" s="161"/>
      <c r="B189" s="137"/>
      <c r="C189" s="161"/>
      <c r="D189" s="38" t="s">
        <v>12</v>
      </c>
      <c r="E189" s="21">
        <f>F189+G189+H189+M189+N189</f>
        <v>0</v>
      </c>
      <c r="F189" s="21">
        <v>0</v>
      </c>
      <c r="G189" s="21">
        <v>0</v>
      </c>
      <c r="H189" s="133">
        <v>0</v>
      </c>
      <c r="I189" s="134"/>
      <c r="J189" s="134"/>
      <c r="K189" s="134"/>
      <c r="L189" s="135"/>
      <c r="M189" s="21">
        <v>0</v>
      </c>
      <c r="N189" s="21">
        <v>0</v>
      </c>
      <c r="O189" s="127"/>
    </row>
    <row r="190" spans="1:16" ht="24" customHeight="1" x14ac:dyDescent="0.3">
      <c r="A190" s="161"/>
      <c r="B190" s="137" t="s">
        <v>357</v>
      </c>
      <c r="C190" s="131" t="s">
        <v>101</v>
      </c>
      <c r="D190" s="131" t="s">
        <v>101</v>
      </c>
      <c r="E190" s="126" t="s">
        <v>102</v>
      </c>
      <c r="F190" s="126" t="s">
        <v>103</v>
      </c>
      <c r="G190" s="139" t="s">
        <v>501</v>
      </c>
      <c r="H190" s="132" t="s">
        <v>499</v>
      </c>
      <c r="I190" s="133" t="s">
        <v>332</v>
      </c>
      <c r="J190" s="134"/>
      <c r="K190" s="134"/>
      <c r="L190" s="135"/>
      <c r="M190" s="126" t="s">
        <v>105</v>
      </c>
      <c r="N190" s="126" t="s">
        <v>106</v>
      </c>
      <c r="O190" s="127"/>
      <c r="P190" s="159"/>
    </row>
    <row r="191" spans="1:16" ht="28.5" customHeight="1" x14ac:dyDescent="0.3">
      <c r="A191" s="161"/>
      <c r="B191" s="137"/>
      <c r="C191" s="131"/>
      <c r="D191" s="131"/>
      <c r="E191" s="126"/>
      <c r="F191" s="126"/>
      <c r="G191" s="140"/>
      <c r="H191" s="126"/>
      <c r="I191" s="23" t="s">
        <v>327</v>
      </c>
      <c r="J191" s="23" t="s">
        <v>328</v>
      </c>
      <c r="K191" s="23" t="s">
        <v>329</v>
      </c>
      <c r="L191" s="23" t="s">
        <v>330</v>
      </c>
      <c r="M191" s="126"/>
      <c r="N191" s="126"/>
      <c r="O191" s="127"/>
      <c r="P191" s="159"/>
    </row>
    <row r="192" spans="1:16" ht="26.25" customHeight="1" x14ac:dyDescent="0.3">
      <c r="A192" s="161"/>
      <c r="B192" s="137"/>
      <c r="C192" s="131"/>
      <c r="D192" s="131"/>
      <c r="E192" s="14">
        <v>1</v>
      </c>
      <c r="F192" s="14">
        <v>0</v>
      </c>
      <c r="G192" s="14">
        <v>0</v>
      </c>
      <c r="H192" s="14">
        <v>1</v>
      </c>
      <c r="I192" s="14">
        <v>0</v>
      </c>
      <c r="J192" s="14">
        <v>0</v>
      </c>
      <c r="K192" s="14">
        <v>0</v>
      </c>
      <c r="L192" s="14">
        <v>1</v>
      </c>
      <c r="M192" s="14">
        <v>0</v>
      </c>
      <c r="N192" s="14">
        <v>0</v>
      </c>
      <c r="O192" s="127"/>
      <c r="P192" s="159"/>
    </row>
    <row r="193" spans="1:15" s="19" customFormat="1" ht="25.5" customHeight="1" x14ac:dyDescent="0.25">
      <c r="A193" s="160" t="s">
        <v>301</v>
      </c>
      <c r="B193" s="137" t="s">
        <v>419</v>
      </c>
      <c r="C193" s="161" t="s">
        <v>67</v>
      </c>
      <c r="D193" s="38" t="s">
        <v>14</v>
      </c>
      <c r="E193" s="21">
        <f>'Строительство и реконструкция'!K305</f>
        <v>1246153.6199999999</v>
      </c>
      <c r="F193" s="21">
        <f>'Строительство и реконструкция'!L275</f>
        <v>0</v>
      </c>
      <c r="G193" s="21">
        <f>'Строительство и реконструкция'!M305</f>
        <v>57797.66</v>
      </c>
      <c r="H193" s="133">
        <f>'Строительство и реконструкция'!N305</f>
        <v>985407.05999999994</v>
      </c>
      <c r="I193" s="134"/>
      <c r="J193" s="134"/>
      <c r="K193" s="134"/>
      <c r="L193" s="135"/>
      <c r="M193" s="21">
        <f>'Строительство и реконструкция'!O305</f>
        <v>202948.9</v>
      </c>
      <c r="N193" s="21">
        <v>0</v>
      </c>
      <c r="O193" s="127" t="s">
        <v>266</v>
      </c>
    </row>
    <row r="194" spans="1:15" s="19" customFormat="1" ht="36" customHeight="1" x14ac:dyDescent="0.25">
      <c r="A194" s="161"/>
      <c r="B194" s="137"/>
      <c r="C194" s="161"/>
      <c r="D194" s="38" t="s">
        <v>10</v>
      </c>
      <c r="E194" s="21">
        <f>'Строительство и реконструкция'!K306</f>
        <v>768187.54</v>
      </c>
      <c r="F194" s="21">
        <f>'Строительство и реконструкция'!L276</f>
        <v>0</v>
      </c>
      <c r="G194" s="21">
        <f>'Строительство и реконструкция'!M306</f>
        <v>36065.729999999996</v>
      </c>
      <c r="H194" s="133">
        <f>'Строительство и реконструкция'!N306</f>
        <v>607121.39</v>
      </c>
      <c r="I194" s="134"/>
      <c r="J194" s="134"/>
      <c r="K194" s="134"/>
      <c r="L194" s="135"/>
      <c r="M194" s="21">
        <f>'Строительство и реконструкция'!O306</f>
        <v>125000.42000000001</v>
      </c>
      <c r="N194" s="21">
        <v>0</v>
      </c>
      <c r="O194" s="127"/>
    </row>
    <row r="195" spans="1:15" s="19" customFormat="1" ht="36" customHeight="1" x14ac:dyDescent="0.25">
      <c r="A195" s="161"/>
      <c r="B195" s="137"/>
      <c r="C195" s="161"/>
      <c r="D195" s="38" t="s">
        <v>18</v>
      </c>
      <c r="E195" s="21">
        <f>'Строительство и реконструкция'!K307</f>
        <v>477966.07999999996</v>
      </c>
      <c r="F195" s="21">
        <f>'Строительство и реконструкция'!L277</f>
        <v>0</v>
      </c>
      <c r="G195" s="21">
        <f>'Строительство и реконструкция'!M307</f>
        <v>21731.93</v>
      </c>
      <c r="H195" s="133">
        <f>'Строительство и реконструкция'!N307</f>
        <v>378285.67</v>
      </c>
      <c r="I195" s="134"/>
      <c r="J195" s="134"/>
      <c r="K195" s="134"/>
      <c r="L195" s="135"/>
      <c r="M195" s="21">
        <f>'Строительство и реконструкция'!O307</f>
        <v>77948.479999999996</v>
      </c>
      <c r="N195" s="21">
        <v>0</v>
      </c>
      <c r="O195" s="127"/>
    </row>
    <row r="196" spans="1:15" s="19" customFormat="1" ht="26.25" customHeight="1" x14ac:dyDescent="0.25">
      <c r="A196" s="161"/>
      <c r="B196" s="137"/>
      <c r="C196" s="161"/>
      <c r="D196" s="38" t="s">
        <v>12</v>
      </c>
      <c r="E196" s="21">
        <f>F196+G196+H196+M196+N196</f>
        <v>0</v>
      </c>
      <c r="F196" s="21">
        <v>0</v>
      </c>
      <c r="G196" s="21">
        <v>0</v>
      </c>
      <c r="H196" s="133">
        <v>0</v>
      </c>
      <c r="I196" s="134"/>
      <c r="J196" s="134"/>
      <c r="K196" s="134"/>
      <c r="L196" s="135"/>
      <c r="M196" s="21">
        <v>0</v>
      </c>
      <c r="N196" s="21">
        <v>0</v>
      </c>
      <c r="O196" s="127"/>
    </row>
    <row r="197" spans="1:15" ht="23.25" customHeight="1" x14ac:dyDescent="0.3">
      <c r="A197" s="161"/>
      <c r="B197" s="137" t="s">
        <v>421</v>
      </c>
      <c r="C197" s="131" t="s">
        <v>101</v>
      </c>
      <c r="D197" s="131" t="s">
        <v>101</v>
      </c>
      <c r="E197" s="126" t="s">
        <v>102</v>
      </c>
      <c r="F197" s="126" t="s">
        <v>103</v>
      </c>
      <c r="G197" s="139" t="s">
        <v>501</v>
      </c>
      <c r="H197" s="132" t="s">
        <v>499</v>
      </c>
      <c r="I197" s="133" t="s">
        <v>332</v>
      </c>
      <c r="J197" s="134"/>
      <c r="K197" s="134"/>
      <c r="L197" s="135"/>
      <c r="M197" s="126" t="s">
        <v>105</v>
      </c>
      <c r="N197" s="126" t="s">
        <v>106</v>
      </c>
      <c r="O197" s="127"/>
    </row>
    <row r="198" spans="1:15" ht="15.75" customHeight="1" x14ac:dyDescent="0.3">
      <c r="A198" s="161"/>
      <c r="B198" s="137"/>
      <c r="C198" s="131"/>
      <c r="D198" s="131"/>
      <c r="E198" s="126"/>
      <c r="F198" s="126"/>
      <c r="G198" s="140"/>
      <c r="H198" s="126"/>
      <c r="I198" s="23" t="s">
        <v>327</v>
      </c>
      <c r="J198" s="23" t="s">
        <v>328</v>
      </c>
      <c r="K198" s="23" t="s">
        <v>329</v>
      </c>
      <c r="L198" s="23" t="s">
        <v>330</v>
      </c>
      <c r="M198" s="126"/>
      <c r="N198" s="126"/>
      <c r="O198" s="127"/>
    </row>
    <row r="199" spans="1:15" ht="41.25" customHeight="1" x14ac:dyDescent="0.3">
      <c r="A199" s="161"/>
      <c r="B199" s="137"/>
      <c r="C199" s="131"/>
      <c r="D199" s="131"/>
      <c r="E199" s="14">
        <v>10</v>
      </c>
      <c r="F199" s="14">
        <v>0</v>
      </c>
      <c r="G199" s="14">
        <v>0</v>
      </c>
      <c r="H199" s="14">
        <v>4</v>
      </c>
      <c r="I199" s="14">
        <v>0</v>
      </c>
      <c r="J199" s="14">
        <v>0</v>
      </c>
      <c r="K199" s="14">
        <v>0</v>
      </c>
      <c r="L199" s="14">
        <v>4</v>
      </c>
      <c r="M199" s="14">
        <v>6</v>
      </c>
      <c r="N199" s="14">
        <v>0</v>
      </c>
      <c r="O199" s="127"/>
    </row>
    <row r="200" spans="1:15" s="19" customFormat="1" ht="24.75" customHeight="1" x14ac:dyDescent="0.25">
      <c r="A200" s="161" t="s">
        <v>302</v>
      </c>
      <c r="B200" s="137" t="s">
        <v>458</v>
      </c>
      <c r="C200" s="161" t="s">
        <v>67</v>
      </c>
      <c r="D200" s="38" t="s">
        <v>14</v>
      </c>
      <c r="E200" s="21">
        <f>'Капитальный ремонт'!E85</f>
        <v>176194.24</v>
      </c>
      <c r="F200" s="21">
        <f>'Капитальный ремонт'!F78</f>
        <v>0</v>
      </c>
      <c r="G200" s="21">
        <f>'Капитальный ремонт'!G85</f>
        <v>8809.7099999999991</v>
      </c>
      <c r="H200" s="133">
        <f>'Капитальный ремонт'!H85</f>
        <v>164100</v>
      </c>
      <c r="I200" s="134"/>
      <c r="J200" s="134"/>
      <c r="K200" s="134"/>
      <c r="L200" s="135"/>
      <c r="M200" s="21">
        <f>'Капитальный ремонт'!I85</f>
        <v>3284.53</v>
      </c>
      <c r="N200" s="21">
        <f>'Капитальный ремонт'!J78</f>
        <v>0</v>
      </c>
      <c r="O200" s="127" t="s">
        <v>409</v>
      </c>
    </row>
    <row r="201" spans="1:15" s="19" customFormat="1" ht="36" customHeight="1" x14ac:dyDescent="0.25">
      <c r="A201" s="161"/>
      <c r="B201" s="137"/>
      <c r="C201" s="161"/>
      <c r="D201" s="38" t="s">
        <v>10</v>
      </c>
      <c r="E201" s="21">
        <f>'Капитальный ремонт'!E86</f>
        <v>109945.20999999999</v>
      </c>
      <c r="F201" s="21">
        <f>'Капитальный ремонт'!F79</f>
        <v>0</v>
      </c>
      <c r="G201" s="21">
        <f>'Капитальный ремонт'!G86</f>
        <v>5497.26</v>
      </c>
      <c r="H201" s="133">
        <f>'Капитальный ремонт'!H86</f>
        <v>102398.39999999999</v>
      </c>
      <c r="I201" s="134"/>
      <c r="J201" s="134"/>
      <c r="K201" s="134"/>
      <c r="L201" s="135"/>
      <c r="M201" s="21">
        <f>'Капитальный ремонт'!I86</f>
        <v>2049.5500000000002</v>
      </c>
      <c r="N201" s="21">
        <f>'Капитальный ремонт'!J79</f>
        <v>0</v>
      </c>
      <c r="O201" s="127"/>
    </row>
    <row r="202" spans="1:15" s="19" customFormat="1" ht="36" customHeight="1" x14ac:dyDescent="0.25">
      <c r="A202" s="161"/>
      <c r="B202" s="137"/>
      <c r="C202" s="161"/>
      <c r="D202" s="38" t="s">
        <v>18</v>
      </c>
      <c r="E202" s="21">
        <f>'Капитальный ремонт'!E87</f>
        <v>66249.03</v>
      </c>
      <c r="F202" s="21">
        <f>'Капитальный ремонт'!F80</f>
        <v>0</v>
      </c>
      <c r="G202" s="21">
        <f>'Капитальный ремонт'!G87</f>
        <v>3312.45</v>
      </c>
      <c r="H202" s="133">
        <f>'Капитальный ремонт'!H87</f>
        <v>61701.599999999999</v>
      </c>
      <c r="I202" s="134"/>
      <c r="J202" s="134"/>
      <c r="K202" s="134"/>
      <c r="L202" s="135"/>
      <c r="M202" s="21">
        <f>'Капитальный ремонт'!I87</f>
        <v>1234.98</v>
      </c>
      <c r="N202" s="21">
        <f>'Капитальный ремонт'!J80</f>
        <v>0</v>
      </c>
      <c r="O202" s="127"/>
    </row>
    <row r="203" spans="1:15" s="19" customFormat="1" ht="31.5" customHeight="1" x14ac:dyDescent="0.25">
      <c r="A203" s="161"/>
      <c r="B203" s="137"/>
      <c r="C203" s="161"/>
      <c r="D203" s="38" t="s">
        <v>12</v>
      </c>
      <c r="E203" s="21">
        <v>0</v>
      </c>
      <c r="F203" s="21">
        <v>0</v>
      </c>
      <c r="G203" s="21">
        <v>0</v>
      </c>
      <c r="H203" s="133">
        <f>'Капитальный ремонт'!H81</f>
        <v>0</v>
      </c>
      <c r="I203" s="134"/>
      <c r="J203" s="134"/>
      <c r="K203" s="134"/>
      <c r="L203" s="135"/>
      <c r="M203" s="21">
        <f>'Капитальный ремонт'!I81</f>
        <v>0</v>
      </c>
      <c r="N203" s="21">
        <f>'Капитальный ремонт'!J81</f>
        <v>0</v>
      </c>
      <c r="O203" s="127"/>
    </row>
    <row r="204" spans="1:15" ht="23.25" customHeight="1" x14ac:dyDescent="0.3">
      <c r="A204" s="161"/>
      <c r="B204" s="137" t="s">
        <v>451</v>
      </c>
      <c r="C204" s="131" t="s">
        <v>101</v>
      </c>
      <c r="D204" s="131" t="s">
        <v>101</v>
      </c>
      <c r="E204" s="126" t="s">
        <v>102</v>
      </c>
      <c r="F204" s="126" t="s">
        <v>103</v>
      </c>
      <c r="G204" s="139" t="s">
        <v>501</v>
      </c>
      <c r="H204" s="132" t="s">
        <v>499</v>
      </c>
      <c r="I204" s="133" t="s">
        <v>332</v>
      </c>
      <c r="J204" s="134"/>
      <c r="K204" s="134"/>
      <c r="L204" s="135"/>
      <c r="M204" s="126" t="s">
        <v>105</v>
      </c>
      <c r="N204" s="126" t="s">
        <v>106</v>
      </c>
      <c r="O204" s="127"/>
    </row>
    <row r="205" spans="1:15" ht="15.75" customHeight="1" x14ac:dyDescent="0.3">
      <c r="A205" s="161"/>
      <c r="B205" s="137"/>
      <c r="C205" s="131"/>
      <c r="D205" s="131"/>
      <c r="E205" s="126"/>
      <c r="F205" s="126"/>
      <c r="G205" s="140"/>
      <c r="H205" s="126"/>
      <c r="I205" s="23" t="s">
        <v>327</v>
      </c>
      <c r="J205" s="23" t="s">
        <v>328</v>
      </c>
      <c r="K205" s="23" t="s">
        <v>329</v>
      </c>
      <c r="L205" s="23" t="s">
        <v>330</v>
      </c>
      <c r="M205" s="126"/>
      <c r="N205" s="126"/>
      <c r="O205" s="127"/>
    </row>
    <row r="206" spans="1:15" ht="27.75" customHeight="1" x14ac:dyDescent="0.3">
      <c r="A206" s="161"/>
      <c r="B206" s="137"/>
      <c r="C206" s="131"/>
      <c r="D206" s="131"/>
      <c r="E206" s="14">
        <f>F206+G206+H206+M206+N206</f>
        <v>1</v>
      </c>
      <c r="F206" s="14">
        <v>0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1</v>
      </c>
      <c r="N206" s="14">
        <v>0</v>
      </c>
      <c r="O206" s="127"/>
    </row>
    <row r="207" spans="1:15" s="19" customFormat="1" ht="27.75" customHeight="1" x14ac:dyDescent="0.25">
      <c r="A207" s="161" t="s">
        <v>405</v>
      </c>
      <c r="B207" s="137" t="s">
        <v>410</v>
      </c>
      <c r="C207" s="161" t="s">
        <v>67</v>
      </c>
      <c r="D207" s="38" t="s">
        <v>14</v>
      </c>
      <c r="E207" s="21">
        <f>'Строительство и реконструкция'!K312</f>
        <v>448090.94999999995</v>
      </c>
      <c r="F207" s="21">
        <f>'Строительство и реконструкция'!L312</f>
        <v>0</v>
      </c>
      <c r="G207" s="21">
        <f>'Строительство и реконструкция'!M312</f>
        <v>212520.03</v>
      </c>
      <c r="H207" s="133">
        <f>'Строительство и реконструкция'!N309</f>
        <v>235570.91999999998</v>
      </c>
      <c r="I207" s="134"/>
      <c r="J207" s="134"/>
      <c r="K207" s="134"/>
      <c r="L207" s="135"/>
      <c r="M207" s="21">
        <f>'Строительство и реконструкция'!S312</f>
        <v>0</v>
      </c>
      <c r="N207" s="21">
        <f>'Строительство и реконструкция'!T312</f>
        <v>0</v>
      </c>
      <c r="O207" s="127" t="s">
        <v>341</v>
      </c>
    </row>
    <row r="208" spans="1:15" s="19" customFormat="1" ht="36" customHeight="1" x14ac:dyDescent="0.25">
      <c r="A208" s="161"/>
      <c r="B208" s="137"/>
      <c r="C208" s="161"/>
      <c r="D208" s="38" t="s">
        <v>10</v>
      </c>
      <c r="E208" s="21">
        <f>'Строительство и реконструкция'!K313</f>
        <v>239654.99</v>
      </c>
      <c r="F208" s="21">
        <f>'Строительство и реконструкция'!L313</f>
        <v>0</v>
      </c>
      <c r="G208" s="21">
        <f>'Строительство и реконструкция'!M313</f>
        <v>132612.5</v>
      </c>
      <c r="H208" s="133">
        <f>'Строительство и реконструкция'!N310</f>
        <v>107042.49</v>
      </c>
      <c r="I208" s="134"/>
      <c r="J208" s="134"/>
      <c r="K208" s="134"/>
      <c r="L208" s="135"/>
      <c r="M208" s="21">
        <f>'Строительство и реконструкция'!S313</f>
        <v>0</v>
      </c>
      <c r="N208" s="21">
        <f>'Строительство и реконструкция'!T313</f>
        <v>0</v>
      </c>
      <c r="O208" s="127"/>
    </row>
    <row r="209" spans="1:15" s="19" customFormat="1" ht="36" customHeight="1" x14ac:dyDescent="0.25">
      <c r="A209" s="161"/>
      <c r="B209" s="137"/>
      <c r="C209" s="161"/>
      <c r="D209" s="38" t="s">
        <v>18</v>
      </c>
      <c r="E209" s="21">
        <f>'Строительство и реконструкция'!K314</f>
        <v>208435.96</v>
      </c>
      <c r="F209" s="21">
        <f>'Строительство и реконструкция'!L314</f>
        <v>0</v>
      </c>
      <c r="G209" s="21">
        <f>'Строительство и реконструкция'!M314</f>
        <v>79907.53</v>
      </c>
      <c r="H209" s="133">
        <f>'Строительство и реконструкция'!N311</f>
        <v>128528.43</v>
      </c>
      <c r="I209" s="134"/>
      <c r="J209" s="134"/>
      <c r="K209" s="134"/>
      <c r="L209" s="135"/>
      <c r="M209" s="21">
        <f>'Строительство и реконструкция'!S314</f>
        <v>0</v>
      </c>
      <c r="N209" s="21">
        <f>'Строительство и реконструкция'!T314</f>
        <v>0</v>
      </c>
      <c r="O209" s="127"/>
    </row>
    <row r="210" spans="1:15" s="19" customFormat="1" ht="26.25" customHeight="1" x14ac:dyDescent="0.25">
      <c r="A210" s="161"/>
      <c r="B210" s="137"/>
      <c r="C210" s="161"/>
      <c r="D210" s="38" t="s">
        <v>12</v>
      </c>
      <c r="E210" s="21">
        <v>0</v>
      </c>
      <c r="F210" s="21">
        <v>0</v>
      </c>
      <c r="G210" s="21">
        <v>0</v>
      </c>
      <c r="H210" s="133">
        <v>0</v>
      </c>
      <c r="I210" s="134"/>
      <c r="J210" s="134"/>
      <c r="K210" s="134"/>
      <c r="L210" s="135"/>
      <c r="M210" s="21">
        <v>0</v>
      </c>
      <c r="N210" s="21">
        <v>0</v>
      </c>
      <c r="O210" s="127"/>
    </row>
    <row r="211" spans="1:15" ht="23.25" customHeight="1" x14ac:dyDescent="0.3">
      <c r="A211" s="161"/>
      <c r="B211" s="137" t="s">
        <v>429</v>
      </c>
      <c r="C211" s="131" t="s">
        <v>101</v>
      </c>
      <c r="D211" s="131" t="s">
        <v>101</v>
      </c>
      <c r="E211" s="126" t="s">
        <v>102</v>
      </c>
      <c r="F211" s="126" t="s">
        <v>103</v>
      </c>
      <c r="G211" s="139" t="s">
        <v>501</v>
      </c>
      <c r="H211" s="132" t="s">
        <v>499</v>
      </c>
      <c r="I211" s="133" t="s">
        <v>332</v>
      </c>
      <c r="J211" s="134"/>
      <c r="K211" s="134"/>
      <c r="L211" s="135"/>
      <c r="M211" s="126" t="s">
        <v>105</v>
      </c>
      <c r="N211" s="126" t="s">
        <v>106</v>
      </c>
      <c r="O211" s="127"/>
    </row>
    <row r="212" spans="1:15" ht="15.75" customHeight="1" x14ac:dyDescent="0.3">
      <c r="A212" s="161"/>
      <c r="B212" s="137"/>
      <c r="C212" s="131"/>
      <c r="D212" s="131"/>
      <c r="E212" s="126"/>
      <c r="F212" s="126"/>
      <c r="G212" s="140"/>
      <c r="H212" s="126"/>
      <c r="I212" s="23" t="s">
        <v>327</v>
      </c>
      <c r="J212" s="23" t="s">
        <v>328</v>
      </c>
      <c r="K212" s="23" t="s">
        <v>329</v>
      </c>
      <c r="L212" s="23" t="s">
        <v>330</v>
      </c>
      <c r="M212" s="126"/>
      <c r="N212" s="126"/>
      <c r="O212" s="127"/>
    </row>
    <row r="213" spans="1:15" ht="27.75" customHeight="1" x14ac:dyDescent="0.3">
      <c r="A213" s="161"/>
      <c r="B213" s="137"/>
      <c r="C213" s="131"/>
      <c r="D213" s="131"/>
      <c r="E213" s="14">
        <f>F213+G213+H213+M213+N213</f>
        <v>1</v>
      </c>
      <c r="F213" s="14">
        <v>0</v>
      </c>
      <c r="G213" s="14">
        <v>0</v>
      </c>
      <c r="H213" s="14">
        <v>1</v>
      </c>
      <c r="I213" s="14">
        <v>0</v>
      </c>
      <c r="J213" s="14">
        <v>0</v>
      </c>
      <c r="K213" s="14">
        <v>0</v>
      </c>
      <c r="L213" s="14">
        <v>1</v>
      </c>
      <c r="M213" s="14">
        <v>0</v>
      </c>
      <c r="N213" s="14">
        <v>0</v>
      </c>
      <c r="O213" s="127"/>
    </row>
    <row r="214" spans="1:15" s="19" customFormat="1" ht="24.75" customHeight="1" x14ac:dyDescent="0.25">
      <c r="A214" s="161" t="s">
        <v>408</v>
      </c>
      <c r="B214" s="137" t="s">
        <v>406</v>
      </c>
      <c r="C214" s="161" t="s">
        <v>67</v>
      </c>
      <c r="D214" s="38" t="s">
        <v>14</v>
      </c>
      <c r="E214" s="21">
        <f>'Капитальный ремонт'!E93</f>
        <v>472929.72</v>
      </c>
      <c r="F214" s="21">
        <f>'Капитальный ремонт'!F93</f>
        <v>0</v>
      </c>
      <c r="G214" s="21">
        <f>'Капитальный ремонт'!G93</f>
        <v>397727.51</v>
      </c>
      <c r="H214" s="126">
        <f>'Капитальный ремонт'!H93</f>
        <v>75202.209999999992</v>
      </c>
      <c r="I214" s="126"/>
      <c r="J214" s="126"/>
      <c r="K214" s="126"/>
      <c r="L214" s="126"/>
      <c r="M214" s="21">
        <f>'Капитальный ремонт'!I93</f>
        <v>0</v>
      </c>
      <c r="N214" s="21">
        <f>'Капитальный ремонт'!J93</f>
        <v>0</v>
      </c>
      <c r="O214" s="127" t="s">
        <v>409</v>
      </c>
    </row>
    <row r="215" spans="1:15" s="19" customFormat="1" ht="36" customHeight="1" x14ac:dyDescent="0.25">
      <c r="A215" s="161"/>
      <c r="B215" s="137"/>
      <c r="C215" s="161"/>
      <c r="D215" s="38" t="s">
        <v>10</v>
      </c>
      <c r="E215" s="21">
        <f>'Капитальный ремонт'!E94</f>
        <v>290187.93</v>
      </c>
      <c r="F215" s="21">
        <f>'Капитальный ремонт'!F94</f>
        <v>0</v>
      </c>
      <c r="G215" s="21">
        <f>'Капитальный ремонт'!G94</f>
        <v>248182.03000000003</v>
      </c>
      <c r="H215" s="126">
        <f>'Капитальный ремонт'!H94</f>
        <v>42005.9</v>
      </c>
      <c r="I215" s="126"/>
      <c r="J215" s="126"/>
      <c r="K215" s="126"/>
      <c r="L215" s="126"/>
      <c r="M215" s="21">
        <f>'Капитальный ремонт'!I94</f>
        <v>0</v>
      </c>
      <c r="N215" s="21">
        <f>'Капитальный ремонт'!J94</f>
        <v>0</v>
      </c>
      <c r="O215" s="127"/>
    </row>
    <row r="216" spans="1:15" s="19" customFormat="1" ht="36" customHeight="1" x14ac:dyDescent="0.25">
      <c r="A216" s="161"/>
      <c r="B216" s="137"/>
      <c r="C216" s="161"/>
      <c r="D216" s="38" t="s">
        <v>18</v>
      </c>
      <c r="E216" s="21">
        <f>'Капитальный ремонт'!E95</f>
        <v>182741.78999999998</v>
      </c>
      <c r="F216" s="21">
        <f>'Капитальный ремонт'!F95</f>
        <v>0</v>
      </c>
      <c r="G216" s="21">
        <f>'Капитальный ремонт'!G95</f>
        <v>149545.47999999998</v>
      </c>
      <c r="H216" s="126">
        <f>'Капитальный ремонт'!H95</f>
        <v>33196.31</v>
      </c>
      <c r="I216" s="126"/>
      <c r="J216" s="126"/>
      <c r="K216" s="126"/>
      <c r="L216" s="126"/>
      <c r="M216" s="21">
        <f>'Капитальный ремонт'!I95</f>
        <v>0</v>
      </c>
      <c r="N216" s="21">
        <f>'Капитальный ремонт'!J95</f>
        <v>0</v>
      </c>
      <c r="O216" s="127"/>
    </row>
    <row r="217" spans="1:15" s="19" customFormat="1" ht="31.5" customHeight="1" x14ac:dyDescent="0.25">
      <c r="A217" s="161"/>
      <c r="B217" s="137"/>
      <c r="C217" s="161"/>
      <c r="D217" s="38" t="s">
        <v>12</v>
      </c>
      <c r="E217" s="21">
        <v>0</v>
      </c>
      <c r="F217" s="21">
        <v>0</v>
      </c>
      <c r="G217" s="21">
        <v>0</v>
      </c>
      <c r="H217" s="126">
        <f>'Капитальный ремонт'!H96</f>
        <v>0</v>
      </c>
      <c r="I217" s="126"/>
      <c r="J217" s="126"/>
      <c r="K217" s="126"/>
      <c r="L217" s="126"/>
      <c r="M217" s="21">
        <f>'Капитальный ремонт'!I96</f>
        <v>0</v>
      </c>
      <c r="N217" s="21">
        <f>'Капитальный ремонт'!J96</f>
        <v>0</v>
      </c>
      <c r="O217" s="127"/>
    </row>
    <row r="218" spans="1:15" ht="23.25" customHeight="1" x14ac:dyDescent="0.3">
      <c r="A218" s="161"/>
      <c r="B218" s="137" t="s">
        <v>430</v>
      </c>
      <c r="C218" s="131" t="s">
        <v>101</v>
      </c>
      <c r="D218" s="131" t="s">
        <v>101</v>
      </c>
      <c r="E218" s="126" t="s">
        <v>102</v>
      </c>
      <c r="F218" s="126" t="s">
        <v>103</v>
      </c>
      <c r="G218" s="132" t="s">
        <v>501</v>
      </c>
      <c r="H218" s="132" t="s">
        <v>499</v>
      </c>
      <c r="I218" s="126" t="s">
        <v>332</v>
      </c>
      <c r="J218" s="126"/>
      <c r="K218" s="126"/>
      <c r="L218" s="126"/>
      <c r="M218" s="126" t="s">
        <v>105</v>
      </c>
      <c r="N218" s="126" t="s">
        <v>106</v>
      </c>
      <c r="O218" s="127"/>
    </row>
    <row r="219" spans="1:15" ht="15.75" customHeight="1" x14ac:dyDescent="0.3">
      <c r="A219" s="161"/>
      <c r="B219" s="137"/>
      <c r="C219" s="131"/>
      <c r="D219" s="131"/>
      <c r="E219" s="126"/>
      <c r="F219" s="126"/>
      <c r="G219" s="126"/>
      <c r="H219" s="126"/>
      <c r="I219" s="21" t="s">
        <v>327</v>
      </c>
      <c r="J219" s="21" t="s">
        <v>328</v>
      </c>
      <c r="K219" s="21" t="s">
        <v>329</v>
      </c>
      <c r="L219" s="21" t="s">
        <v>330</v>
      </c>
      <c r="M219" s="126"/>
      <c r="N219" s="126"/>
      <c r="O219" s="127"/>
    </row>
    <row r="220" spans="1:15" ht="27.75" customHeight="1" x14ac:dyDescent="0.3">
      <c r="A220" s="161"/>
      <c r="B220" s="137"/>
      <c r="C220" s="131"/>
      <c r="D220" s="131"/>
      <c r="E220" s="14">
        <f>F220+G220+H220+M220+N220</f>
        <v>11</v>
      </c>
      <c r="F220" s="14">
        <v>0</v>
      </c>
      <c r="G220" s="14">
        <v>5</v>
      </c>
      <c r="H220" s="14">
        <v>6</v>
      </c>
      <c r="I220" s="14">
        <v>0</v>
      </c>
      <c r="J220" s="14">
        <v>0</v>
      </c>
      <c r="K220" s="14">
        <v>0</v>
      </c>
      <c r="L220" s="14">
        <v>6</v>
      </c>
      <c r="M220" s="14">
        <v>0</v>
      </c>
      <c r="N220" s="14">
        <v>0</v>
      </c>
      <c r="O220" s="127"/>
    </row>
    <row r="221" spans="1:15" s="19" customFormat="1" ht="36" customHeight="1" x14ac:dyDescent="0.25">
      <c r="A221" s="160" t="s">
        <v>450</v>
      </c>
      <c r="B221" s="137" t="s">
        <v>505</v>
      </c>
      <c r="C221" s="161" t="s">
        <v>67</v>
      </c>
      <c r="D221" s="38" t="s">
        <v>14</v>
      </c>
      <c r="E221" s="21">
        <v>0</v>
      </c>
      <c r="F221" s="21">
        <v>0</v>
      </c>
      <c r="G221" s="21">
        <v>0</v>
      </c>
      <c r="H221" s="126">
        <v>0</v>
      </c>
      <c r="I221" s="126"/>
      <c r="J221" s="126"/>
      <c r="K221" s="126"/>
      <c r="L221" s="126"/>
      <c r="M221" s="21">
        <v>0</v>
      </c>
      <c r="N221" s="21">
        <v>0</v>
      </c>
      <c r="O221" s="127" t="s">
        <v>30</v>
      </c>
    </row>
    <row r="222" spans="1:15" s="19" customFormat="1" ht="36" customHeight="1" x14ac:dyDescent="0.25">
      <c r="A222" s="161"/>
      <c r="B222" s="137"/>
      <c r="C222" s="161"/>
      <c r="D222" s="38" t="s">
        <v>10</v>
      </c>
      <c r="E222" s="21">
        <v>0</v>
      </c>
      <c r="F222" s="21">
        <v>0</v>
      </c>
      <c r="G222" s="21">
        <v>0</v>
      </c>
      <c r="H222" s="126">
        <v>0</v>
      </c>
      <c r="I222" s="126"/>
      <c r="J222" s="126"/>
      <c r="K222" s="126"/>
      <c r="L222" s="126"/>
      <c r="M222" s="21">
        <v>0</v>
      </c>
      <c r="N222" s="21">
        <v>0</v>
      </c>
      <c r="O222" s="127"/>
    </row>
    <row r="223" spans="1:15" s="19" customFormat="1" ht="36" customHeight="1" x14ac:dyDescent="0.25">
      <c r="A223" s="161"/>
      <c r="B223" s="137"/>
      <c r="C223" s="161"/>
      <c r="D223" s="38" t="s">
        <v>18</v>
      </c>
      <c r="E223" s="21">
        <v>0</v>
      </c>
      <c r="F223" s="21">
        <v>0</v>
      </c>
      <c r="G223" s="21">
        <v>0</v>
      </c>
      <c r="H223" s="126">
        <v>0</v>
      </c>
      <c r="I223" s="126"/>
      <c r="J223" s="126"/>
      <c r="K223" s="126"/>
      <c r="L223" s="126"/>
      <c r="M223" s="21">
        <v>0</v>
      </c>
      <c r="N223" s="21">
        <v>0</v>
      </c>
      <c r="O223" s="127"/>
    </row>
    <row r="224" spans="1:15" s="19" customFormat="1" ht="31.5" customHeight="1" x14ac:dyDescent="0.25">
      <c r="A224" s="161"/>
      <c r="B224" s="137"/>
      <c r="C224" s="161"/>
      <c r="D224" s="38" t="s">
        <v>12</v>
      </c>
      <c r="E224" s="21">
        <v>0</v>
      </c>
      <c r="F224" s="21">
        <v>0</v>
      </c>
      <c r="G224" s="21">
        <v>0</v>
      </c>
      <c r="H224" s="126">
        <v>0</v>
      </c>
      <c r="I224" s="126"/>
      <c r="J224" s="126"/>
      <c r="K224" s="126"/>
      <c r="L224" s="126"/>
      <c r="M224" s="21">
        <v>0</v>
      </c>
      <c r="N224" s="21">
        <v>0</v>
      </c>
      <c r="O224" s="127"/>
    </row>
    <row r="225" spans="1:16201" ht="23.25" customHeight="1" x14ac:dyDescent="0.3">
      <c r="A225" s="161"/>
      <c r="B225" s="137" t="s">
        <v>506</v>
      </c>
      <c r="C225" s="131" t="s">
        <v>101</v>
      </c>
      <c r="D225" s="131" t="s">
        <v>101</v>
      </c>
      <c r="E225" s="126" t="s">
        <v>102</v>
      </c>
      <c r="F225" s="126" t="s">
        <v>103</v>
      </c>
      <c r="G225" s="132" t="s">
        <v>501</v>
      </c>
      <c r="H225" s="132" t="s">
        <v>499</v>
      </c>
      <c r="I225" s="126" t="s">
        <v>332</v>
      </c>
      <c r="J225" s="126"/>
      <c r="K225" s="126"/>
      <c r="L225" s="126"/>
      <c r="M225" s="126" t="s">
        <v>105</v>
      </c>
      <c r="N225" s="126" t="s">
        <v>106</v>
      </c>
      <c r="O225" s="127"/>
    </row>
    <row r="226" spans="1:16201" ht="15.75" customHeight="1" x14ac:dyDescent="0.3">
      <c r="A226" s="161"/>
      <c r="B226" s="137"/>
      <c r="C226" s="131"/>
      <c r="D226" s="131"/>
      <c r="E226" s="126"/>
      <c r="F226" s="126"/>
      <c r="G226" s="126"/>
      <c r="H226" s="126"/>
      <c r="I226" s="21" t="s">
        <v>327</v>
      </c>
      <c r="J226" s="21" t="s">
        <v>328</v>
      </c>
      <c r="K226" s="21" t="s">
        <v>329</v>
      </c>
      <c r="L226" s="21" t="s">
        <v>330</v>
      </c>
      <c r="M226" s="126"/>
      <c r="N226" s="126"/>
      <c r="O226" s="127"/>
    </row>
    <row r="227" spans="1:16201" ht="27.75" customHeight="1" x14ac:dyDescent="0.3">
      <c r="A227" s="161"/>
      <c r="B227" s="137"/>
      <c r="C227" s="131"/>
      <c r="D227" s="131"/>
      <c r="E227" s="14">
        <f>F227+G227+H227+M227+N227</f>
        <v>0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27"/>
    </row>
    <row r="228" spans="1:16201" s="44" customFormat="1" ht="31.5" customHeight="1" x14ac:dyDescent="0.3">
      <c r="A228" s="146" t="s">
        <v>27</v>
      </c>
      <c r="B228" s="128" t="s">
        <v>507</v>
      </c>
      <c r="C228" s="153" t="s">
        <v>67</v>
      </c>
      <c r="D228" s="38" t="s">
        <v>14</v>
      </c>
      <c r="E228" s="21">
        <f>SUM(F228:N228)</f>
        <v>0</v>
      </c>
      <c r="F228" s="21">
        <f>SUM(F229:F230)</f>
        <v>0</v>
      </c>
      <c r="G228" s="21">
        <f>G229+G230</f>
        <v>0</v>
      </c>
      <c r="H228" s="133">
        <f>H229+H230</f>
        <v>0</v>
      </c>
      <c r="I228" s="134"/>
      <c r="J228" s="134"/>
      <c r="K228" s="134"/>
      <c r="L228" s="135"/>
      <c r="M228" s="21">
        <f>M229+M230</f>
        <v>0</v>
      </c>
      <c r="N228" s="21">
        <v>0</v>
      </c>
      <c r="O228" s="153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  <c r="HX228" s="12"/>
      <c r="HY228" s="12"/>
      <c r="HZ228" s="12"/>
      <c r="IA228" s="12"/>
      <c r="IB228" s="12"/>
      <c r="IC228" s="12"/>
      <c r="ID228" s="12"/>
      <c r="IE228" s="12"/>
      <c r="IF228" s="12"/>
      <c r="IG228" s="12"/>
      <c r="IH228" s="12"/>
      <c r="II228" s="12"/>
      <c r="IJ228" s="12"/>
      <c r="IK228" s="12"/>
      <c r="IL228" s="12"/>
      <c r="IM228" s="12"/>
      <c r="IN228" s="12"/>
      <c r="IO228" s="12"/>
      <c r="IP228" s="12"/>
      <c r="IQ228" s="12"/>
      <c r="IR228" s="12"/>
      <c r="IS228" s="12"/>
      <c r="IT228" s="12"/>
      <c r="IU228" s="12"/>
      <c r="IV228" s="12"/>
      <c r="IW228" s="12"/>
      <c r="IX228" s="12"/>
      <c r="IY228" s="12"/>
      <c r="IZ228" s="12"/>
      <c r="JA228" s="12"/>
      <c r="JB228" s="12"/>
      <c r="JC228" s="12"/>
      <c r="JD228" s="12"/>
      <c r="JE228" s="12"/>
      <c r="JF228" s="12"/>
      <c r="JG228" s="12"/>
      <c r="JH228" s="12"/>
      <c r="JI228" s="12"/>
      <c r="JJ228" s="12"/>
      <c r="JK228" s="12"/>
      <c r="JL228" s="12"/>
      <c r="JM228" s="12"/>
      <c r="JN228" s="12"/>
      <c r="JO228" s="12"/>
      <c r="JP228" s="12"/>
      <c r="JQ228" s="12"/>
      <c r="JR228" s="12"/>
      <c r="JS228" s="12"/>
      <c r="JT228" s="12"/>
      <c r="JU228" s="12"/>
      <c r="JV228" s="12"/>
      <c r="JW228" s="12"/>
      <c r="JX228" s="12"/>
      <c r="JY228" s="12"/>
      <c r="JZ228" s="12"/>
      <c r="KA228" s="12"/>
      <c r="KB228" s="12"/>
      <c r="KC228" s="12"/>
      <c r="KD228" s="12"/>
      <c r="KE228" s="12"/>
      <c r="KF228" s="12"/>
      <c r="KG228" s="12"/>
      <c r="KH228" s="12"/>
      <c r="KI228" s="12"/>
      <c r="KJ228" s="12"/>
      <c r="KK228" s="12"/>
      <c r="KL228" s="12"/>
      <c r="KM228" s="12"/>
      <c r="KN228" s="12"/>
      <c r="KO228" s="12"/>
      <c r="KP228" s="12"/>
      <c r="KQ228" s="12"/>
      <c r="KR228" s="12"/>
      <c r="KS228" s="12"/>
      <c r="KT228" s="12"/>
      <c r="KU228" s="12"/>
      <c r="KV228" s="12"/>
      <c r="KW228" s="12"/>
      <c r="KX228" s="12"/>
      <c r="KY228" s="12"/>
      <c r="KZ228" s="12"/>
      <c r="LA228" s="12"/>
      <c r="LB228" s="12"/>
      <c r="LC228" s="12"/>
      <c r="LD228" s="12"/>
      <c r="LE228" s="12"/>
      <c r="LF228" s="12"/>
      <c r="LG228" s="12"/>
      <c r="LH228" s="12"/>
      <c r="LI228" s="12"/>
      <c r="LJ228" s="12"/>
      <c r="LK228" s="12"/>
      <c r="LL228" s="12"/>
      <c r="LM228" s="12"/>
      <c r="LN228" s="12"/>
      <c r="LO228" s="12"/>
      <c r="LP228" s="12"/>
      <c r="LQ228" s="12"/>
      <c r="LR228" s="12"/>
      <c r="LS228" s="12"/>
      <c r="LT228" s="12"/>
      <c r="LU228" s="12"/>
      <c r="LV228" s="12"/>
      <c r="LW228" s="12"/>
      <c r="LX228" s="12"/>
      <c r="LY228" s="12"/>
      <c r="LZ228" s="12"/>
      <c r="MA228" s="12"/>
      <c r="MB228" s="12"/>
      <c r="MC228" s="12"/>
      <c r="MD228" s="12"/>
      <c r="ME228" s="12"/>
      <c r="MF228" s="12"/>
      <c r="MG228" s="12"/>
      <c r="MH228" s="12"/>
      <c r="MI228" s="12"/>
      <c r="MJ228" s="12"/>
      <c r="MK228" s="12"/>
      <c r="ML228" s="12"/>
      <c r="MM228" s="12"/>
      <c r="MN228" s="12"/>
      <c r="MO228" s="12"/>
      <c r="MP228" s="12"/>
      <c r="MQ228" s="12"/>
      <c r="MR228" s="12"/>
      <c r="MS228" s="12"/>
      <c r="MT228" s="12"/>
      <c r="MU228" s="12"/>
      <c r="MV228" s="12"/>
      <c r="MW228" s="12"/>
      <c r="MX228" s="12"/>
      <c r="MY228" s="12"/>
      <c r="MZ228" s="12"/>
      <c r="NA228" s="12"/>
      <c r="NB228" s="12"/>
      <c r="NC228" s="12"/>
      <c r="ND228" s="12"/>
      <c r="NE228" s="12"/>
      <c r="NF228" s="12"/>
      <c r="NG228" s="12"/>
      <c r="NH228" s="12"/>
      <c r="NI228" s="12"/>
      <c r="NJ228" s="12"/>
      <c r="NK228" s="12"/>
      <c r="NL228" s="12"/>
      <c r="NM228" s="12"/>
      <c r="NN228" s="12"/>
      <c r="NO228" s="12"/>
      <c r="NP228" s="12"/>
      <c r="NQ228" s="12"/>
      <c r="NR228" s="12"/>
      <c r="NS228" s="12"/>
      <c r="NT228" s="12"/>
      <c r="NU228" s="12"/>
      <c r="NV228" s="12"/>
      <c r="NW228" s="12"/>
      <c r="NX228" s="12"/>
      <c r="NY228" s="12"/>
      <c r="NZ228" s="12"/>
      <c r="OA228" s="12"/>
      <c r="OB228" s="12"/>
      <c r="OC228" s="12"/>
      <c r="OD228" s="12"/>
      <c r="OE228" s="12"/>
      <c r="OF228" s="12"/>
      <c r="OG228" s="12"/>
      <c r="OH228" s="12"/>
      <c r="OI228" s="12"/>
      <c r="OJ228" s="12"/>
      <c r="OK228" s="12"/>
      <c r="OL228" s="12"/>
      <c r="OM228" s="12"/>
      <c r="ON228" s="12"/>
      <c r="OO228" s="12"/>
      <c r="OP228" s="12"/>
      <c r="OQ228" s="12"/>
      <c r="OR228" s="12"/>
      <c r="OS228" s="12"/>
      <c r="OT228" s="12"/>
      <c r="OU228" s="12"/>
      <c r="OV228" s="12"/>
      <c r="OW228" s="12"/>
      <c r="OX228" s="12"/>
      <c r="OY228" s="12"/>
      <c r="OZ228" s="12"/>
      <c r="PA228" s="12"/>
      <c r="PB228" s="12"/>
      <c r="PC228" s="12"/>
      <c r="PD228" s="12"/>
      <c r="PE228" s="12"/>
      <c r="PF228" s="12"/>
      <c r="PG228" s="12"/>
      <c r="PH228" s="12"/>
      <c r="PI228" s="12"/>
      <c r="PJ228" s="12"/>
      <c r="PK228" s="12"/>
      <c r="PL228" s="12"/>
      <c r="PM228" s="12"/>
      <c r="PN228" s="12"/>
      <c r="PO228" s="12"/>
      <c r="PP228" s="12"/>
      <c r="PQ228" s="12"/>
      <c r="PR228" s="12"/>
      <c r="PS228" s="12"/>
      <c r="PT228" s="12"/>
      <c r="PU228" s="12"/>
      <c r="PV228" s="12"/>
      <c r="PW228" s="12"/>
      <c r="PX228" s="12"/>
      <c r="PY228" s="12"/>
      <c r="PZ228" s="12"/>
      <c r="QA228" s="12"/>
      <c r="QB228" s="12"/>
      <c r="QC228" s="12"/>
      <c r="QD228" s="12"/>
      <c r="QE228" s="12"/>
      <c r="QF228" s="12"/>
      <c r="QG228" s="12"/>
      <c r="QH228" s="12"/>
      <c r="QI228" s="12"/>
      <c r="QJ228" s="12"/>
      <c r="QK228" s="12"/>
      <c r="QL228" s="12"/>
      <c r="QM228" s="12"/>
      <c r="QN228" s="12"/>
      <c r="QO228" s="12"/>
      <c r="QP228" s="12"/>
      <c r="QQ228" s="12"/>
      <c r="QR228" s="12"/>
      <c r="QS228" s="12"/>
      <c r="QT228" s="12"/>
      <c r="QU228" s="12"/>
      <c r="QV228" s="12"/>
      <c r="QW228" s="12"/>
      <c r="QX228" s="12"/>
      <c r="QY228" s="12"/>
      <c r="QZ228" s="12"/>
      <c r="RA228" s="12"/>
      <c r="RB228" s="12"/>
      <c r="RC228" s="12"/>
      <c r="RD228" s="12"/>
      <c r="RE228" s="12"/>
      <c r="RF228" s="12"/>
      <c r="RG228" s="12"/>
      <c r="RH228" s="12"/>
      <c r="RI228" s="12"/>
      <c r="RJ228" s="12"/>
      <c r="RK228" s="12"/>
      <c r="RL228" s="12"/>
      <c r="RM228" s="12"/>
      <c r="RN228" s="12"/>
      <c r="RO228" s="12"/>
      <c r="RP228" s="12"/>
      <c r="RQ228" s="12"/>
      <c r="RR228" s="12"/>
      <c r="RS228" s="12"/>
      <c r="RT228" s="12"/>
      <c r="RU228" s="12"/>
      <c r="RV228" s="12"/>
      <c r="RW228" s="12"/>
      <c r="RX228" s="12"/>
      <c r="RY228" s="12"/>
      <c r="RZ228" s="12"/>
      <c r="SA228" s="12"/>
      <c r="SB228" s="12"/>
      <c r="SC228" s="12"/>
      <c r="SD228" s="12"/>
      <c r="SE228" s="12"/>
      <c r="SF228" s="12"/>
      <c r="SG228" s="12"/>
      <c r="SH228" s="12"/>
      <c r="SI228" s="12"/>
      <c r="SJ228" s="12"/>
      <c r="SK228" s="12"/>
      <c r="SL228" s="12"/>
      <c r="SM228" s="12"/>
      <c r="SN228" s="12"/>
      <c r="SO228" s="12"/>
      <c r="SP228" s="12"/>
      <c r="SQ228" s="12"/>
      <c r="SR228" s="12"/>
      <c r="SS228" s="12"/>
      <c r="ST228" s="12"/>
      <c r="SU228" s="12"/>
      <c r="SV228" s="12"/>
      <c r="SW228" s="12"/>
      <c r="SX228" s="12"/>
      <c r="SY228" s="12"/>
      <c r="SZ228" s="12"/>
      <c r="TA228" s="12"/>
      <c r="TB228" s="12"/>
      <c r="TC228" s="12"/>
      <c r="TD228" s="12"/>
      <c r="TE228" s="12"/>
      <c r="TF228" s="12"/>
      <c r="TG228" s="12"/>
      <c r="TH228" s="12"/>
      <c r="TI228" s="12"/>
      <c r="TJ228" s="12"/>
      <c r="TK228" s="12"/>
      <c r="TL228" s="12"/>
      <c r="TM228" s="12"/>
      <c r="TN228" s="12"/>
      <c r="TO228" s="12"/>
      <c r="TP228" s="12"/>
      <c r="TQ228" s="12"/>
      <c r="TR228" s="12"/>
      <c r="TS228" s="12"/>
      <c r="TT228" s="12"/>
      <c r="TU228" s="12"/>
      <c r="TV228" s="12"/>
      <c r="TW228" s="12"/>
      <c r="TX228" s="12"/>
      <c r="TY228" s="12"/>
      <c r="TZ228" s="12"/>
      <c r="UA228" s="12"/>
      <c r="UB228" s="12"/>
      <c r="UC228" s="12"/>
      <c r="UD228" s="12"/>
      <c r="UE228" s="12"/>
      <c r="UF228" s="12"/>
      <c r="UG228" s="12"/>
      <c r="UH228" s="12"/>
      <c r="UI228" s="12"/>
      <c r="UJ228" s="12"/>
      <c r="UK228" s="12"/>
      <c r="UL228" s="12"/>
      <c r="UM228" s="12"/>
      <c r="UN228" s="12"/>
      <c r="UO228" s="12"/>
      <c r="UP228" s="12"/>
      <c r="UQ228" s="12"/>
      <c r="UR228" s="12"/>
      <c r="US228" s="12"/>
      <c r="UT228" s="12"/>
      <c r="UU228" s="12"/>
      <c r="UV228" s="12"/>
      <c r="UW228" s="12"/>
      <c r="UX228" s="12"/>
      <c r="UY228" s="12"/>
      <c r="UZ228" s="12"/>
      <c r="VA228" s="12"/>
      <c r="VB228" s="12"/>
      <c r="VC228" s="12"/>
      <c r="VD228" s="12"/>
      <c r="VE228" s="12"/>
      <c r="VF228" s="12"/>
      <c r="VG228" s="12"/>
      <c r="VH228" s="12"/>
      <c r="VI228" s="12"/>
      <c r="VJ228" s="12"/>
      <c r="VK228" s="12"/>
      <c r="VL228" s="12"/>
      <c r="VM228" s="12"/>
      <c r="VN228" s="12"/>
      <c r="VO228" s="12"/>
      <c r="VP228" s="12"/>
      <c r="VQ228" s="12"/>
      <c r="VR228" s="12"/>
      <c r="VS228" s="12"/>
      <c r="VT228" s="12"/>
      <c r="VU228" s="12"/>
      <c r="VV228" s="12"/>
      <c r="VW228" s="12"/>
      <c r="VX228" s="12"/>
      <c r="VY228" s="12"/>
      <c r="VZ228" s="12"/>
      <c r="WA228" s="12"/>
      <c r="WB228" s="12"/>
      <c r="WC228" s="12"/>
      <c r="WD228" s="12"/>
      <c r="WE228" s="12"/>
      <c r="WF228" s="12"/>
      <c r="WG228" s="12"/>
      <c r="WH228" s="12"/>
      <c r="WI228" s="12"/>
      <c r="WJ228" s="12"/>
      <c r="WK228" s="12"/>
      <c r="WL228" s="12"/>
      <c r="WM228" s="12"/>
      <c r="WN228" s="12"/>
      <c r="WO228" s="12"/>
      <c r="WP228" s="12"/>
      <c r="WQ228" s="12"/>
      <c r="WR228" s="12"/>
      <c r="WS228" s="12"/>
      <c r="WT228" s="12"/>
      <c r="WU228" s="12"/>
      <c r="WV228" s="12"/>
      <c r="WW228" s="12"/>
      <c r="WX228" s="12"/>
      <c r="WY228" s="12"/>
      <c r="WZ228" s="12"/>
      <c r="XA228" s="12"/>
      <c r="XB228" s="12"/>
      <c r="XC228" s="12"/>
      <c r="XD228" s="12"/>
      <c r="XE228" s="12"/>
      <c r="XF228" s="12"/>
      <c r="XG228" s="12"/>
      <c r="XH228" s="12"/>
      <c r="XI228" s="12"/>
      <c r="XJ228" s="12"/>
      <c r="XK228" s="12"/>
      <c r="XL228" s="12"/>
      <c r="XM228" s="12"/>
      <c r="XN228" s="12"/>
      <c r="XO228" s="12"/>
      <c r="XP228" s="12"/>
      <c r="XQ228" s="12"/>
      <c r="XR228" s="12"/>
      <c r="XS228" s="12"/>
      <c r="XT228" s="12"/>
      <c r="XU228" s="12"/>
      <c r="XV228" s="12"/>
      <c r="XW228" s="12"/>
      <c r="XX228" s="12"/>
      <c r="XY228" s="12"/>
      <c r="XZ228" s="12"/>
      <c r="YA228" s="12"/>
      <c r="YB228" s="12"/>
      <c r="YC228" s="12"/>
      <c r="YD228" s="12"/>
      <c r="YE228" s="12"/>
      <c r="YF228" s="12"/>
      <c r="YG228" s="12"/>
      <c r="YH228" s="12"/>
      <c r="YI228" s="12"/>
      <c r="YJ228" s="12"/>
      <c r="YK228" s="12"/>
      <c r="YL228" s="12"/>
      <c r="YM228" s="12"/>
      <c r="YN228" s="12"/>
      <c r="YO228" s="12"/>
      <c r="YP228" s="12"/>
      <c r="YQ228" s="12"/>
      <c r="YR228" s="12"/>
      <c r="YS228" s="12"/>
      <c r="YT228" s="12"/>
      <c r="YU228" s="12"/>
      <c r="YV228" s="12"/>
      <c r="YW228" s="12"/>
      <c r="YX228" s="12"/>
      <c r="YY228" s="12"/>
      <c r="YZ228" s="12"/>
      <c r="ZA228" s="12"/>
      <c r="ZB228" s="12"/>
      <c r="ZC228" s="12"/>
      <c r="ZD228" s="12"/>
      <c r="ZE228" s="12"/>
      <c r="ZF228" s="12"/>
      <c r="ZG228" s="12"/>
      <c r="ZH228" s="12"/>
      <c r="ZI228" s="12"/>
      <c r="ZJ228" s="12"/>
      <c r="ZK228" s="12"/>
      <c r="ZL228" s="12"/>
      <c r="ZM228" s="12"/>
      <c r="ZN228" s="12"/>
      <c r="ZO228" s="12"/>
      <c r="ZP228" s="12"/>
      <c r="ZQ228" s="12"/>
      <c r="ZR228" s="12"/>
      <c r="ZS228" s="12"/>
      <c r="ZT228" s="12"/>
      <c r="ZU228" s="12"/>
      <c r="ZV228" s="12"/>
      <c r="ZW228" s="12"/>
      <c r="ZX228" s="12"/>
      <c r="ZY228" s="12"/>
      <c r="ZZ228" s="12"/>
      <c r="AAA228" s="12"/>
      <c r="AAB228" s="12"/>
      <c r="AAC228" s="12"/>
      <c r="AAD228" s="12"/>
      <c r="AAE228" s="12"/>
      <c r="AAF228" s="12"/>
      <c r="AAG228" s="12"/>
      <c r="AAH228" s="12"/>
      <c r="AAI228" s="12"/>
      <c r="AAJ228" s="12"/>
      <c r="AAK228" s="12"/>
      <c r="AAL228" s="12"/>
      <c r="AAM228" s="12"/>
      <c r="AAN228" s="12"/>
      <c r="AAO228" s="12"/>
      <c r="AAP228" s="12"/>
      <c r="AAQ228" s="12"/>
      <c r="AAR228" s="12"/>
      <c r="AAS228" s="12"/>
      <c r="AAT228" s="12"/>
      <c r="AAU228" s="12"/>
      <c r="AAV228" s="12"/>
      <c r="AAW228" s="12"/>
      <c r="AAX228" s="12"/>
      <c r="AAY228" s="12"/>
      <c r="AAZ228" s="12"/>
      <c r="ABA228" s="12"/>
      <c r="ABB228" s="12"/>
      <c r="ABC228" s="12"/>
      <c r="ABD228" s="12"/>
      <c r="ABE228" s="12"/>
      <c r="ABF228" s="12"/>
      <c r="ABG228" s="12"/>
      <c r="ABH228" s="12"/>
      <c r="ABI228" s="12"/>
      <c r="ABJ228" s="12"/>
      <c r="ABK228" s="12"/>
      <c r="ABL228" s="12"/>
      <c r="ABM228" s="12"/>
      <c r="ABN228" s="12"/>
      <c r="ABO228" s="12"/>
      <c r="ABP228" s="12"/>
      <c r="ABQ228" s="12"/>
      <c r="ABR228" s="12"/>
      <c r="ABS228" s="12"/>
      <c r="ABT228" s="12"/>
      <c r="ABU228" s="12"/>
      <c r="ABV228" s="12"/>
      <c r="ABW228" s="12"/>
      <c r="ABX228" s="12"/>
      <c r="ABY228" s="12"/>
      <c r="ABZ228" s="12"/>
      <c r="ACA228" s="12"/>
      <c r="ACB228" s="12"/>
      <c r="ACC228" s="12"/>
      <c r="ACD228" s="12"/>
      <c r="ACE228" s="12"/>
      <c r="ACF228" s="12"/>
      <c r="ACG228" s="12"/>
      <c r="ACH228" s="12"/>
      <c r="ACI228" s="12"/>
      <c r="ACJ228" s="12"/>
      <c r="ACK228" s="12"/>
      <c r="ACL228" s="12"/>
      <c r="ACM228" s="12"/>
      <c r="ACN228" s="12"/>
      <c r="ACO228" s="12"/>
      <c r="ACP228" s="12"/>
      <c r="ACQ228" s="12"/>
      <c r="ACR228" s="12"/>
      <c r="ACS228" s="12"/>
      <c r="ACT228" s="12"/>
      <c r="ACU228" s="12"/>
      <c r="ACV228" s="12"/>
      <c r="ACW228" s="12"/>
      <c r="ACX228" s="12"/>
      <c r="ACY228" s="12"/>
      <c r="ACZ228" s="12"/>
      <c r="ADA228" s="12"/>
      <c r="ADB228" s="12"/>
      <c r="ADC228" s="12"/>
      <c r="ADD228" s="12"/>
      <c r="ADE228" s="12"/>
      <c r="ADF228" s="12"/>
      <c r="ADG228" s="12"/>
      <c r="ADH228" s="12"/>
      <c r="ADI228" s="12"/>
      <c r="ADJ228" s="12"/>
      <c r="ADK228" s="12"/>
      <c r="ADL228" s="12"/>
      <c r="ADM228" s="12"/>
      <c r="ADN228" s="12"/>
      <c r="ADO228" s="12"/>
      <c r="ADP228" s="12"/>
      <c r="ADQ228" s="12"/>
      <c r="ADR228" s="12"/>
      <c r="ADS228" s="12"/>
      <c r="ADT228" s="12"/>
      <c r="ADU228" s="12"/>
      <c r="ADV228" s="12"/>
      <c r="ADW228" s="12"/>
      <c r="ADX228" s="12"/>
      <c r="ADY228" s="12"/>
      <c r="ADZ228" s="12"/>
      <c r="AEA228" s="12"/>
      <c r="AEB228" s="12"/>
      <c r="AEC228" s="12"/>
      <c r="AED228" s="12"/>
      <c r="AEE228" s="12"/>
      <c r="AEF228" s="12"/>
      <c r="AEG228" s="12"/>
      <c r="AEH228" s="12"/>
      <c r="AEI228" s="12"/>
      <c r="AEJ228" s="12"/>
      <c r="AEK228" s="12"/>
      <c r="AEL228" s="12"/>
      <c r="AEM228" s="12"/>
      <c r="AEN228" s="12"/>
      <c r="AEO228" s="12"/>
      <c r="AEP228" s="12"/>
      <c r="AEQ228" s="12"/>
      <c r="AER228" s="12"/>
      <c r="AES228" s="12"/>
      <c r="AET228" s="12"/>
      <c r="AEU228" s="12"/>
      <c r="AEV228" s="12"/>
      <c r="AEW228" s="12"/>
      <c r="AEX228" s="12"/>
      <c r="AEY228" s="12"/>
      <c r="AEZ228" s="12"/>
      <c r="AFA228" s="12"/>
      <c r="AFB228" s="12"/>
      <c r="AFC228" s="12"/>
      <c r="AFD228" s="12"/>
      <c r="AFE228" s="12"/>
      <c r="AFF228" s="12"/>
      <c r="AFG228" s="12"/>
      <c r="AFH228" s="12"/>
      <c r="AFI228" s="12"/>
      <c r="AFJ228" s="12"/>
      <c r="AFK228" s="12"/>
      <c r="AFL228" s="12"/>
      <c r="AFM228" s="12"/>
      <c r="AFN228" s="12"/>
      <c r="AFO228" s="12"/>
      <c r="AFP228" s="12"/>
      <c r="AFQ228" s="12"/>
      <c r="AFR228" s="12"/>
      <c r="AFS228" s="12"/>
      <c r="AFT228" s="12"/>
      <c r="AFU228" s="12"/>
      <c r="AFV228" s="12"/>
      <c r="AFW228" s="12"/>
      <c r="AFX228" s="12"/>
      <c r="AFY228" s="12"/>
      <c r="AFZ228" s="12"/>
      <c r="AGA228" s="12"/>
      <c r="AGB228" s="12"/>
      <c r="AGC228" s="12"/>
      <c r="AGD228" s="12"/>
      <c r="AGE228" s="12"/>
      <c r="AGF228" s="12"/>
      <c r="AGG228" s="12"/>
      <c r="AGH228" s="12"/>
      <c r="AGI228" s="12"/>
      <c r="AGJ228" s="12"/>
      <c r="AGK228" s="12"/>
      <c r="AGL228" s="12"/>
      <c r="AGM228" s="12"/>
      <c r="AGN228" s="12"/>
      <c r="AGO228" s="12"/>
      <c r="AGP228" s="12"/>
      <c r="AGQ228" s="12"/>
      <c r="AGR228" s="12"/>
      <c r="AGS228" s="12"/>
      <c r="AGT228" s="12"/>
      <c r="AGU228" s="12"/>
      <c r="AGV228" s="12"/>
      <c r="AGW228" s="12"/>
      <c r="AGX228" s="12"/>
      <c r="AGY228" s="12"/>
      <c r="AGZ228" s="12"/>
      <c r="AHA228" s="12"/>
      <c r="AHB228" s="12"/>
      <c r="AHC228" s="12"/>
      <c r="AHD228" s="12"/>
      <c r="AHE228" s="12"/>
      <c r="AHF228" s="12"/>
      <c r="AHG228" s="12"/>
      <c r="AHH228" s="12"/>
      <c r="AHI228" s="12"/>
      <c r="AHJ228" s="12"/>
      <c r="AHK228" s="12"/>
      <c r="AHL228" s="12"/>
      <c r="AHM228" s="12"/>
      <c r="AHN228" s="12"/>
      <c r="AHO228" s="12"/>
      <c r="AHP228" s="12"/>
      <c r="AHQ228" s="12"/>
      <c r="AHR228" s="12"/>
      <c r="AHS228" s="12"/>
      <c r="AHT228" s="12"/>
      <c r="AHU228" s="12"/>
      <c r="AHV228" s="12"/>
      <c r="AHW228" s="12"/>
      <c r="AHX228" s="12"/>
      <c r="AHY228" s="12"/>
      <c r="AHZ228" s="12"/>
      <c r="AIA228" s="12"/>
      <c r="AIB228" s="12"/>
      <c r="AIC228" s="12"/>
      <c r="AID228" s="12"/>
      <c r="AIE228" s="12"/>
      <c r="AIF228" s="12"/>
      <c r="AIG228" s="12"/>
      <c r="AIH228" s="12"/>
      <c r="AII228" s="12"/>
      <c r="AIJ228" s="12"/>
      <c r="AIK228" s="12"/>
      <c r="AIL228" s="12"/>
      <c r="AIM228" s="12"/>
      <c r="AIN228" s="12"/>
      <c r="AIO228" s="12"/>
      <c r="AIP228" s="12"/>
      <c r="AIQ228" s="12"/>
      <c r="AIR228" s="12"/>
      <c r="AIS228" s="12"/>
      <c r="AIT228" s="12"/>
      <c r="AIU228" s="12"/>
      <c r="AIV228" s="12"/>
      <c r="AIW228" s="12"/>
      <c r="AIX228" s="12"/>
      <c r="AIY228" s="12"/>
      <c r="AIZ228" s="12"/>
      <c r="AJA228" s="12"/>
      <c r="AJB228" s="12"/>
      <c r="AJC228" s="12"/>
      <c r="AJD228" s="12"/>
      <c r="AJE228" s="12"/>
      <c r="AJF228" s="12"/>
      <c r="AJG228" s="12"/>
      <c r="AJH228" s="12"/>
      <c r="AJI228" s="12"/>
      <c r="AJJ228" s="12"/>
      <c r="AJK228" s="12"/>
      <c r="AJL228" s="12"/>
      <c r="AJM228" s="12"/>
      <c r="AJN228" s="12"/>
      <c r="AJO228" s="12"/>
      <c r="AJP228" s="12"/>
      <c r="AJQ228" s="12"/>
      <c r="AJR228" s="12"/>
      <c r="AJS228" s="12"/>
      <c r="AJT228" s="12"/>
      <c r="AJU228" s="12"/>
      <c r="AJV228" s="12"/>
      <c r="AJW228" s="12"/>
      <c r="AJX228" s="12"/>
      <c r="AJY228" s="12"/>
      <c r="AJZ228" s="12"/>
      <c r="AKA228" s="12"/>
      <c r="AKB228" s="12"/>
      <c r="AKC228" s="12"/>
      <c r="AKD228" s="12"/>
      <c r="AKE228" s="12"/>
      <c r="AKF228" s="12"/>
      <c r="AKG228" s="12"/>
      <c r="AKH228" s="12"/>
      <c r="AKI228" s="12"/>
      <c r="AKJ228" s="12"/>
      <c r="AKK228" s="12"/>
      <c r="AKL228" s="12"/>
      <c r="AKM228" s="12"/>
      <c r="AKN228" s="12"/>
      <c r="AKO228" s="12"/>
      <c r="AKP228" s="12"/>
      <c r="AKQ228" s="12"/>
      <c r="AKR228" s="12"/>
      <c r="AKS228" s="12"/>
      <c r="AKT228" s="12"/>
      <c r="AKU228" s="12"/>
      <c r="AKV228" s="12"/>
      <c r="AKW228" s="12"/>
      <c r="AKX228" s="12"/>
      <c r="AKY228" s="12"/>
      <c r="AKZ228" s="12"/>
      <c r="ALA228" s="12"/>
      <c r="ALB228" s="12"/>
      <c r="ALC228" s="12"/>
      <c r="ALD228" s="12"/>
      <c r="ALE228" s="12"/>
      <c r="ALF228" s="12"/>
      <c r="ALG228" s="12"/>
      <c r="ALH228" s="12"/>
      <c r="ALI228" s="12"/>
      <c r="ALJ228" s="12"/>
      <c r="ALK228" s="12"/>
      <c r="ALL228" s="12"/>
      <c r="ALM228" s="12"/>
      <c r="ALN228" s="12"/>
      <c r="ALO228" s="12"/>
      <c r="ALP228" s="12"/>
      <c r="ALQ228" s="12"/>
      <c r="ALR228" s="12"/>
      <c r="ALS228" s="12"/>
      <c r="ALT228" s="12"/>
      <c r="ALU228" s="12"/>
      <c r="ALV228" s="12"/>
      <c r="ALW228" s="12"/>
      <c r="ALX228" s="12"/>
      <c r="ALY228" s="12"/>
      <c r="ALZ228" s="12"/>
      <c r="AMA228" s="12"/>
      <c r="AMB228" s="12"/>
      <c r="AMC228" s="12"/>
      <c r="AMD228" s="12"/>
      <c r="AME228" s="12"/>
      <c r="AMF228" s="12"/>
      <c r="AMG228" s="12"/>
      <c r="AMH228" s="12"/>
      <c r="AMI228" s="12"/>
      <c r="AMJ228" s="12"/>
      <c r="AMK228" s="12"/>
      <c r="AML228" s="12"/>
      <c r="AMM228" s="12"/>
      <c r="AMN228" s="12"/>
      <c r="AMO228" s="12"/>
      <c r="AMP228" s="12"/>
      <c r="AMQ228" s="12"/>
      <c r="AMR228" s="12"/>
      <c r="AMS228" s="12"/>
      <c r="AMT228" s="12"/>
      <c r="AMU228" s="12"/>
      <c r="AMV228" s="12"/>
      <c r="AMW228" s="12"/>
      <c r="AMX228" s="12"/>
      <c r="AMY228" s="12"/>
      <c r="AMZ228" s="12"/>
      <c r="ANA228" s="12"/>
      <c r="ANB228" s="12"/>
      <c r="ANC228" s="12"/>
      <c r="AND228" s="12"/>
      <c r="ANE228" s="12"/>
      <c r="ANF228" s="12"/>
      <c r="ANG228" s="12"/>
      <c r="ANH228" s="12"/>
      <c r="ANI228" s="12"/>
      <c r="ANJ228" s="12"/>
      <c r="ANK228" s="12"/>
      <c r="ANL228" s="12"/>
      <c r="ANM228" s="12"/>
      <c r="ANN228" s="12"/>
      <c r="ANO228" s="12"/>
      <c r="ANP228" s="12"/>
      <c r="ANQ228" s="12"/>
      <c r="ANR228" s="12"/>
      <c r="ANS228" s="12"/>
      <c r="ANT228" s="12"/>
      <c r="ANU228" s="12"/>
      <c r="ANV228" s="12"/>
      <c r="ANW228" s="12"/>
      <c r="ANX228" s="12"/>
      <c r="ANY228" s="12"/>
      <c r="ANZ228" s="12"/>
      <c r="AOA228" s="12"/>
      <c r="AOB228" s="12"/>
      <c r="AOC228" s="12"/>
      <c r="AOD228" s="12"/>
      <c r="AOE228" s="12"/>
      <c r="AOF228" s="12"/>
      <c r="AOG228" s="12"/>
      <c r="AOH228" s="12"/>
      <c r="AOI228" s="12"/>
      <c r="AOJ228" s="12"/>
      <c r="AOK228" s="12"/>
      <c r="AOL228" s="12"/>
      <c r="AOM228" s="12"/>
      <c r="AON228" s="12"/>
      <c r="AOO228" s="12"/>
      <c r="AOP228" s="12"/>
      <c r="AOQ228" s="12"/>
      <c r="AOR228" s="12"/>
      <c r="AOS228" s="12"/>
      <c r="AOT228" s="12"/>
      <c r="AOU228" s="12"/>
      <c r="AOV228" s="12"/>
      <c r="AOW228" s="12"/>
      <c r="AOX228" s="12"/>
      <c r="AOY228" s="12"/>
      <c r="AOZ228" s="12"/>
      <c r="APA228" s="12"/>
      <c r="APB228" s="12"/>
      <c r="APC228" s="12"/>
      <c r="APD228" s="12"/>
      <c r="APE228" s="12"/>
      <c r="APF228" s="12"/>
      <c r="APG228" s="12"/>
      <c r="APH228" s="12"/>
      <c r="API228" s="12"/>
      <c r="APJ228" s="12"/>
      <c r="APK228" s="12"/>
      <c r="APL228" s="12"/>
      <c r="APM228" s="12"/>
      <c r="APN228" s="12"/>
      <c r="APO228" s="12"/>
      <c r="APP228" s="12"/>
      <c r="APQ228" s="12"/>
      <c r="APR228" s="12"/>
      <c r="APS228" s="12"/>
      <c r="APT228" s="12"/>
      <c r="APU228" s="12"/>
      <c r="APV228" s="12"/>
      <c r="APW228" s="12"/>
      <c r="APX228" s="12"/>
      <c r="APY228" s="12"/>
      <c r="APZ228" s="12"/>
      <c r="AQA228" s="12"/>
      <c r="AQB228" s="12"/>
      <c r="AQC228" s="12"/>
      <c r="AQD228" s="12"/>
      <c r="AQE228" s="12"/>
      <c r="AQF228" s="12"/>
      <c r="AQG228" s="12"/>
      <c r="AQH228" s="12"/>
      <c r="AQI228" s="12"/>
      <c r="AQJ228" s="12"/>
      <c r="AQK228" s="12"/>
      <c r="AQL228" s="12"/>
      <c r="AQM228" s="12"/>
      <c r="AQN228" s="12"/>
      <c r="AQO228" s="12"/>
      <c r="AQP228" s="12"/>
      <c r="AQQ228" s="12"/>
      <c r="AQR228" s="12"/>
      <c r="AQS228" s="12"/>
      <c r="AQT228" s="12"/>
      <c r="AQU228" s="12"/>
      <c r="AQV228" s="12"/>
      <c r="AQW228" s="12"/>
      <c r="AQX228" s="12"/>
      <c r="AQY228" s="12"/>
      <c r="AQZ228" s="12"/>
      <c r="ARA228" s="12"/>
      <c r="ARB228" s="12"/>
      <c r="ARC228" s="12"/>
      <c r="ARD228" s="12"/>
      <c r="ARE228" s="12"/>
      <c r="ARF228" s="12"/>
      <c r="ARG228" s="12"/>
      <c r="ARH228" s="12"/>
      <c r="ARI228" s="12"/>
      <c r="ARJ228" s="12"/>
      <c r="ARK228" s="12"/>
      <c r="ARL228" s="12"/>
      <c r="ARM228" s="12"/>
      <c r="ARN228" s="12"/>
      <c r="ARO228" s="12"/>
      <c r="ARP228" s="12"/>
      <c r="ARQ228" s="12"/>
      <c r="ARR228" s="12"/>
      <c r="ARS228" s="12"/>
      <c r="ART228" s="12"/>
      <c r="ARU228" s="12"/>
      <c r="ARV228" s="12"/>
      <c r="ARW228" s="12"/>
      <c r="ARX228" s="12"/>
      <c r="ARY228" s="12"/>
      <c r="ARZ228" s="12"/>
      <c r="ASA228" s="12"/>
      <c r="ASB228" s="12"/>
      <c r="ASC228" s="12"/>
      <c r="ASD228" s="12"/>
      <c r="ASE228" s="12"/>
      <c r="ASF228" s="12"/>
      <c r="ASG228" s="12"/>
      <c r="ASH228" s="12"/>
      <c r="ASI228" s="12"/>
      <c r="ASJ228" s="12"/>
      <c r="ASK228" s="12"/>
      <c r="ASL228" s="12"/>
      <c r="ASM228" s="12"/>
      <c r="ASN228" s="12"/>
      <c r="ASO228" s="12"/>
      <c r="ASP228" s="12"/>
      <c r="ASQ228" s="12"/>
      <c r="ASR228" s="12"/>
      <c r="ASS228" s="12"/>
      <c r="AST228" s="12"/>
      <c r="ASU228" s="12"/>
      <c r="ASV228" s="12"/>
      <c r="ASW228" s="12"/>
      <c r="ASX228" s="12"/>
      <c r="ASY228" s="12"/>
      <c r="ASZ228" s="12"/>
      <c r="ATA228" s="12"/>
      <c r="ATB228" s="12"/>
      <c r="ATC228" s="12"/>
      <c r="ATD228" s="12"/>
      <c r="ATE228" s="12"/>
      <c r="ATF228" s="12"/>
      <c r="ATG228" s="12"/>
      <c r="ATH228" s="12"/>
      <c r="ATI228" s="12"/>
      <c r="ATJ228" s="12"/>
      <c r="ATK228" s="12"/>
      <c r="ATL228" s="12"/>
      <c r="ATM228" s="12"/>
      <c r="ATN228" s="12"/>
      <c r="ATO228" s="12"/>
      <c r="ATP228" s="12"/>
      <c r="ATQ228" s="12"/>
      <c r="ATR228" s="12"/>
      <c r="ATS228" s="12"/>
      <c r="ATT228" s="12"/>
      <c r="ATU228" s="12"/>
      <c r="ATV228" s="12"/>
      <c r="ATW228" s="12"/>
      <c r="ATX228" s="12"/>
      <c r="ATY228" s="12"/>
      <c r="ATZ228" s="12"/>
      <c r="AUA228" s="12"/>
      <c r="AUB228" s="12"/>
      <c r="AUC228" s="12"/>
      <c r="AUD228" s="12"/>
      <c r="AUE228" s="12"/>
      <c r="AUF228" s="12"/>
      <c r="AUG228" s="12"/>
      <c r="AUH228" s="12"/>
      <c r="AUI228" s="12"/>
      <c r="AUJ228" s="12"/>
      <c r="AUK228" s="12"/>
      <c r="AUL228" s="12"/>
      <c r="AUM228" s="12"/>
      <c r="AUN228" s="12"/>
      <c r="AUO228" s="12"/>
      <c r="AUP228" s="12"/>
      <c r="AUQ228" s="12"/>
      <c r="AUR228" s="12"/>
      <c r="AUS228" s="12"/>
      <c r="AUT228" s="12"/>
      <c r="AUU228" s="12"/>
      <c r="AUV228" s="12"/>
      <c r="AUW228" s="12"/>
      <c r="AUX228" s="12"/>
      <c r="AUY228" s="12"/>
      <c r="AUZ228" s="12"/>
      <c r="AVA228" s="12"/>
      <c r="AVB228" s="12"/>
      <c r="AVC228" s="12"/>
      <c r="AVD228" s="12"/>
      <c r="AVE228" s="12"/>
      <c r="AVF228" s="12"/>
      <c r="AVG228" s="12"/>
      <c r="AVH228" s="12"/>
      <c r="AVI228" s="12"/>
      <c r="AVJ228" s="12"/>
      <c r="AVK228" s="12"/>
      <c r="AVL228" s="12"/>
      <c r="AVM228" s="12"/>
      <c r="AVN228" s="12"/>
      <c r="AVO228" s="12"/>
      <c r="AVP228" s="12"/>
      <c r="AVQ228" s="12"/>
      <c r="AVR228" s="12"/>
      <c r="AVS228" s="12"/>
      <c r="AVT228" s="12"/>
      <c r="AVU228" s="12"/>
      <c r="AVV228" s="12"/>
      <c r="AVW228" s="12"/>
      <c r="AVX228" s="12"/>
      <c r="AVY228" s="12"/>
      <c r="AVZ228" s="12"/>
      <c r="AWA228" s="12"/>
      <c r="AWB228" s="12"/>
      <c r="AWC228" s="12"/>
      <c r="AWD228" s="12"/>
      <c r="AWE228" s="12"/>
      <c r="AWF228" s="12"/>
      <c r="AWG228" s="12"/>
      <c r="AWH228" s="12"/>
      <c r="AWI228" s="12"/>
      <c r="AWJ228" s="12"/>
      <c r="AWK228" s="12"/>
      <c r="AWL228" s="12"/>
      <c r="AWM228" s="12"/>
      <c r="AWN228" s="12"/>
      <c r="AWO228" s="12"/>
      <c r="AWP228" s="12"/>
      <c r="AWQ228" s="12"/>
      <c r="AWR228" s="12"/>
      <c r="AWS228" s="12"/>
      <c r="AWT228" s="12"/>
      <c r="AWU228" s="12"/>
      <c r="AWV228" s="12"/>
      <c r="AWW228" s="12"/>
      <c r="AWX228" s="12"/>
      <c r="AWY228" s="12"/>
      <c r="AWZ228" s="12"/>
      <c r="AXA228" s="12"/>
      <c r="AXB228" s="12"/>
      <c r="AXC228" s="12"/>
      <c r="AXD228" s="12"/>
      <c r="AXE228" s="12"/>
      <c r="AXF228" s="12"/>
      <c r="AXG228" s="12"/>
      <c r="AXH228" s="12"/>
      <c r="AXI228" s="12"/>
      <c r="AXJ228" s="12"/>
      <c r="AXK228" s="12"/>
      <c r="AXL228" s="12"/>
      <c r="AXM228" s="12"/>
      <c r="AXN228" s="12"/>
      <c r="AXO228" s="12"/>
      <c r="AXP228" s="12"/>
      <c r="AXQ228" s="12"/>
      <c r="AXR228" s="12"/>
      <c r="AXS228" s="12"/>
      <c r="AXT228" s="12"/>
      <c r="AXU228" s="12"/>
      <c r="AXV228" s="12"/>
      <c r="AXW228" s="12"/>
      <c r="AXX228" s="12"/>
      <c r="AXY228" s="12"/>
      <c r="AXZ228" s="12"/>
      <c r="AYA228" s="12"/>
      <c r="AYB228" s="12"/>
      <c r="AYC228" s="12"/>
      <c r="AYD228" s="12"/>
      <c r="AYE228" s="12"/>
      <c r="AYF228" s="12"/>
      <c r="AYG228" s="12"/>
      <c r="AYH228" s="12"/>
      <c r="AYI228" s="12"/>
      <c r="AYJ228" s="12"/>
      <c r="AYK228" s="12"/>
      <c r="AYL228" s="12"/>
      <c r="AYM228" s="12"/>
      <c r="AYN228" s="12"/>
      <c r="AYO228" s="12"/>
      <c r="AYP228" s="12"/>
      <c r="AYQ228" s="12"/>
      <c r="AYR228" s="12"/>
      <c r="AYS228" s="12"/>
      <c r="AYT228" s="12"/>
      <c r="AYU228" s="12"/>
      <c r="AYV228" s="12"/>
      <c r="AYW228" s="12"/>
      <c r="AYX228" s="12"/>
      <c r="AYY228" s="12"/>
      <c r="AYZ228" s="12"/>
      <c r="AZA228" s="12"/>
      <c r="AZB228" s="12"/>
      <c r="AZC228" s="12"/>
      <c r="AZD228" s="12"/>
      <c r="AZE228" s="12"/>
      <c r="AZF228" s="12"/>
      <c r="AZG228" s="12"/>
      <c r="AZH228" s="12"/>
      <c r="AZI228" s="12"/>
      <c r="AZJ228" s="12"/>
      <c r="AZK228" s="12"/>
      <c r="AZL228" s="12"/>
      <c r="AZM228" s="12"/>
      <c r="AZN228" s="12"/>
      <c r="AZO228" s="12"/>
      <c r="AZP228" s="12"/>
      <c r="AZQ228" s="12"/>
      <c r="AZR228" s="12"/>
      <c r="AZS228" s="12"/>
      <c r="AZT228" s="12"/>
      <c r="AZU228" s="12"/>
      <c r="AZV228" s="12"/>
      <c r="AZW228" s="12"/>
      <c r="AZX228" s="12"/>
      <c r="AZY228" s="12"/>
      <c r="AZZ228" s="12"/>
      <c r="BAA228" s="12"/>
      <c r="BAB228" s="12"/>
      <c r="BAC228" s="12"/>
      <c r="BAD228" s="12"/>
      <c r="BAE228" s="12"/>
      <c r="BAF228" s="12"/>
      <c r="BAG228" s="12"/>
      <c r="BAH228" s="12"/>
      <c r="BAI228" s="12"/>
      <c r="BAJ228" s="12"/>
      <c r="BAK228" s="12"/>
      <c r="BAL228" s="12"/>
      <c r="BAM228" s="12"/>
      <c r="BAN228" s="12"/>
      <c r="BAO228" s="12"/>
      <c r="BAP228" s="12"/>
      <c r="BAQ228" s="12"/>
      <c r="BAR228" s="12"/>
      <c r="BAS228" s="12"/>
      <c r="BAT228" s="12"/>
      <c r="BAU228" s="12"/>
      <c r="BAV228" s="12"/>
      <c r="BAW228" s="12"/>
      <c r="BAX228" s="12"/>
      <c r="BAY228" s="12"/>
      <c r="BAZ228" s="12"/>
      <c r="BBA228" s="12"/>
      <c r="BBB228" s="12"/>
      <c r="BBC228" s="12"/>
      <c r="BBD228" s="12"/>
      <c r="BBE228" s="12"/>
      <c r="BBF228" s="12"/>
      <c r="BBG228" s="12"/>
      <c r="BBH228" s="12"/>
      <c r="BBI228" s="12"/>
      <c r="BBJ228" s="12"/>
      <c r="BBK228" s="12"/>
      <c r="BBL228" s="12"/>
      <c r="BBM228" s="12"/>
      <c r="BBN228" s="12"/>
      <c r="BBO228" s="12"/>
      <c r="BBP228" s="12"/>
      <c r="BBQ228" s="12"/>
      <c r="BBR228" s="12"/>
      <c r="BBS228" s="12"/>
      <c r="BBT228" s="12"/>
      <c r="BBU228" s="12"/>
      <c r="BBV228" s="12"/>
      <c r="BBW228" s="12"/>
      <c r="BBX228" s="12"/>
      <c r="BBY228" s="12"/>
      <c r="BBZ228" s="12"/>
      <c r="BCA228" s="12"/>
      <c r="BCB228" s="12"/>
      <c r="BCC228" s="12"/>
      <c r="BCD228" s="12"/>
      <c r="BCE228" s="12"/>
      <c r="BCF228" s="12"/>
      <c r="BCG228" s="12"/>
      <c r="BCH228" s="12"/>
      <c r="BCI228" s="12"/>
      <c r="BCJ228" s="12"/>
      <c r="BCK228" s="12"/>
      <c r="BCL228" s="12"/>
      <c r="BCM228" s="12"/>
      <c r="BCN228" s="12"/>
      <c r="BCO228" s="12"/>
      <c r="BCP228" s="12"/>
      <c r="BCQ228" s="12"/>
      <c r="BCR228" s="12"/>
      <c r="BCS228" s="12"/>
      <c r="BCT228" s="12"/>
      <c r="BCU228" s="12"/>
      <c r="BCV228" s="12"/>
      <c r="BCW228" s="12"/>
      <c r="BCX228" s="12"/>
      <c r="BCY228" s="12"/>
      <c r="BCZ228" s="12"/>
      <c r="BDA228" s="12"/>
      <c r="BDB228" s="12"/>
      <c r="BDC228" s="12"/>
      <c r="BDD228" s="12"/>
      <c r="BDE228" s="12"/>
      <c r="BDF228" s="12"/>
      <c r="BDG228" s="12"/>
      <c r="BDH228" s="12"/>
      <c r="BDI228" s="12"/>
      <c r="BDJ228" s="12"/>
      <c r="BDK228" s="12"/>
      <c r="BDL228" s="12"/>
      <c r="BDM228" s="12"/>
      <c r="BDN228" s="12"/>
      <c r="BDO228" s="12"/>
      <c r="BDP228" s="12"/>
      <c r="BDQ228" s="12"/>
      <c r="BDR228" s="12"/>
      <c r="BDS228" s="12"/>
      <c r="BDT228" s="12"/>
      <c r="BDU228" s="12"/>
      <c r="BDV228" s="12"/>
      <c r="BDW228" s="12"/>
      <c r="BDX228" s="12"/>
      <c r="BDY228" s="12"/>
      <c r="BDZ228" s="12"/>
      <c r="BEA228" s="12"/>
      <c r="BEB228" s="12"/>
      <c r="BEC228" s="12"/>
      <c r="BED228" s="12"/>
      <c r="BEE228" s="12"/>
      <c r="BEF228" s="12"/>
      <c r="BEG228" s="12"/>
      <c r="BEH228" s="12"/>
      <c r="BEI228" s="12"/>
      <c r="BEJ228" s="12"/>
      <c r="BEK228" s="12"/>
      <c r="BEL228" s="12"/>
      <c r="BEM228" s="12"/>
      <c r="BEN228" s="12"/>
      <c r="BEO228" s="12"/>
      <c r="BEP228" s="12"/>
      <c r="BEQ228" s="12"/>
      <c r="BER228" s="12"/>
      <c r="BES228" s="12"/>
      <c r="BET228" s="12"/>
      <c r="BEU228" s="12"/>
      <c r="BEV228" s="12"/>
      <c r="BEW228" s="12"/>
      <c r="BEX228" s="12"/>
      <c r="BEY228" s="12"/>
      <c r="BEZ228" s="12"/>
      <c r="BFA228" s="12"/>
      <c r="BFB228" s="12"/>
      <c r="BFC228" s="12"/>
      <c r="BFD228" s="12"/>
      <c r="BFE228" s="12"/>
      <c r="BFF228" s="12"/>
      <c r="BFG228" s="12"/>
      <c r="BFH228" s="12"/>
      <c r="BFI228" s="12"/>
      <c r="BFJ228" s="12"/>
      <c r="BFK228" s="12"/>
      <c r="BFL228" s="12"/>
      <c r="BFM228" s="12"/>
      <c r="BFN228" s="12"/>
      <c r="BFO228" s="12"/>
      <c r="BFP228" s="12"/>
      <c r="BFQ228" s="12"/>
      <c r="BFR228" s="12"/>
      <c r="BFS228" s="12"/>
      <c r="BFT228" s="12"/>
      <c r="BFU228" s="12"/>
      <c r="BFV228" s="12"/>
      <c r="BFW228" s="12"/>
      <c r="BFX228" s="12"/>
      <c r="BFY228" s="12"/>
      <c r="BFZ228" s="12"/>
      <c r="BGA228" s="12"/>
      <c r="BGB228" s="12"/>
      <c r="BGC228" s="12"/>
      <c r="BGD228" s="12"/>
      <c r="BGE228" s="12"/>
      <c r="BGF228" s="12"/>
      <c r="BGG228" s="12"/>
      <c r="BGH228" s="12"/>
      <c r="BGI228" s="12"/>
      <c r="BGJ228" s="12"/>
      <c r="BGK228" s="12"/>
      <c r="BGL228" s="12"/>
      <c r="BGM228" s="12"/>
      <c r="BGN228" s="12"/>
      <c r="BGO228" s="12"/>
      <c r="BGP228" s="12"/>
      <c r="BGQ228" s="12"/>
      <c r="BGR228" s="12"/>
      <c r="BGS228" s="12"/>
      <c r="BGT228" s="12"/>
      <c r="BGU228" s="12"/>
      <c r="BGV228" s="12"/>
      <c r="BGW228" s="12"/>
      <c r="BGX228" s="12"/>
      <c r="BGY228" s="12"/>
      <c r="BGZ228" s="12"/>
      <c r="BHA228" s="12"/>
      <c r="BHB228" s="12"/>
      <c r="BHC228" s="12"/>
      <c r="BHD228" s="12"/>
      <c r="BHE228" s="12"/>
      <c r="BHF228" s="12"/>
      <c r="BHG228" s="12"/>
      <c r="BHH228" s="12"/>
      <c r="BHI228" s="12"/>
      <c r="BHJ228" s="12"/>
      <c r="BHK228" s="12"/>
      <c r="BHL228" s="12"/>
      <c r="BHM228" s="12"/>
      <c r="BHN228" s="12"/>
      <c r="BHO228" s="12"/>
      <c r="BHP228" s="12"/>
      <c r="BHQ228" s="12"/>
      <c r="BHR228" s="12"/>
      <c r="BHS228" s="12"/>
      <c r="BHT228" s="12"/>
      <c r="BHU228" s="12"/>
      <c r="BHV228" s="12"/>
      <c r="BHW228" s="12"/>
      <c r="BHX228" s="12"/>
      <c r="BHY228" s="12"/>
      <c r="BHZ228" s="12"/>
      <c r="BIA228" s="12"/>
      <c r="BIB228" s="12"/>
      <c r="BIC228" s="12"/>
      <c r="BID228" s="12"/>
      <c r="BIE228" s="12"/>
      <c r="BIF228" s="12"/>
      <c r="BIG228" s="12"/>
      <c r="BIH228" s="12"/>
      <c r="BII228" s="12"/>
      <c r="BIJ228" s="12"/>
      <c r="BIK228" s="12"/>
      <c r="BIL228" s="12"/>
      <c r="BIM228" s="12"/>
      <c r="BIN228" s="12"/>
      <c r="BIO228" s="12"/>
      <c r="BIP228" s="12"/>
      <c r="BIQ228" s="12"/>
      <c r="BIR228" s="12"/>
      <c r="BIS228" s="12"/>
      <c r="BIT228" s="12"/>
      <c r="BIU228" s="12"/>
      <c r="BIV228" s="12"/>
      <c r="BIW228" s="12"/>
      <c r="BIX228" s="12"/>
      <c r="BIY228" s="12"/>
      <c r="BIZ228" s="12"/>
      <c r="BJA228" s="12"/>
      <c r="BJB228" s="12"/>
      <c r="BJC228" s="12"/>
      <c r="BJD228" s="12"/>
      <c r="BJE228" s="12"/>
      <c r="BJF228" s="12"/>
      <c r="BJG228" s="12"/>
      <c r="BJH228" s="12"/>
      <c r="BJI228" s="12"/>
      <c r="BJJ228" s="12"/>
      <c r="BJK228" s="12"/>
      <c r="BJL228" s="12"/>
      <c r="BJM228" s="12"/>
      <c r="BJN228" s="12"/>
      <c r="BJO228" s="12"/>
      <c r="BJP228" s="12"/>
      <c r="BJQ228" s="12"/>
      <c r="BJR228" s="12"/>
      <c r="BJS228" s="12"/>
      <c r="BJT228" s="12"/>
      <c r="BJU228" s="12"/>
      <c r="BJV228" s="12"/>
      <c r="BJW228" s="12"/>
      <c r="BJX228" s="12"/>
      <c r="BJY228" s="12"/>
      <c r="BJZ228" s="12"/>
      <c r="BKA228" s="12"/>
      <c r="BKB228" s="12"/>
      <c r="BKC228" s="12"/>
      <c r="BKD228" s="12"/>
      <c r="BKE228" s="12"/>
      <c r="BKF228" s="12"/>
      <c r="BKG228" s="12"/>
      <c r="BKH228" s="12"/>
      <c r="BKI228" s="12"/>
      <c r="BKJ228" s="12"/>
      <c r="BKK228" s="12"/>
      <c r="BKL228" s="12"/>
      <c r="BKM228" s="12"/>
      <c r="BKN228" s="12"/>
      <c r="BKO228" s="12"/>
      <c r="BKP228" s="12"/>
      <c r="BKQ228" s="12"/>
      <c r="BKR228" s="12"/>
      <c r="BKS228" s="12"/>
      <c r="BKT228" s="12"/>
      <c r="BKU228" s="12"/>
      <c r="BKV228" s="12"/>
      <c r="BKW228" s="12"/>
      <c r="BKX228" s="12"/>
      <c r="BKY228" s="12"/>
      <c r="BKZ228" s="12"/>
      <c r="BLA228" s="12"/>
      <c r="BLB228" s="12"/>
      <c r="BLC228" s="12"/>
      <c r="BLD228" s="12"/>
      <c r="BLE228" s="12"/>
      <c r="BLF228" s="12"/>
      <c r="BLG228" s="12"/>
      <c r="BLH228" s="12"/>
      <c r="BLI228" s="12"/>
      <c r="BLJ228" s="12"/>
      <c r="BLK228" s="12"/>
      <c r="BLL228" s="12"/>
      <c r="BLM228" s="12"/>
      <c r="BLN228" s="12"/>
      <c r="BLO228" s="12"/>
      <c r="BLP228" s="12"/>
      <c r="BLQ228" s="12"/>
      <c r="BLR228" s="12"/>
      <c r="BLS228" s="12"/>
      <c r="BLT228" s="12"/>
      <c r="BLU228" s="12"/>
      <c r="BLV228" s="12"/>
      <c r="BLW228" s="12"/>
      <c r="BLX228" s="12"/>
      <c r="BLY228" s="12"/>
      <c r="BLZ228" s="12"/>
      <c r="BMA228" s="12"/>
      <c r="BMB228" s="12"/>
      <c r="BMC228" s="12"/>
      <c r="BMD228" s="12"/>
      <c r="BME228" s="12"/>
      <c r="BMF228" s="12"/>
      <c r="BMG228" s="12"/>
      <c r="BMH228" s="12"/>
      <c r="BMI228" s="12"/>
      <c r="BMJ228" s="12"/>
      <c r="BMK228" s="12"/>
      <c r="BML228" s="12"/>
      <c r="BMM228" s="12"/>
      <c r="BMN228" s="12"/>
      <c r="BMO228" s="12"/>
      <c r="BMP228" s="12"/>
      <c r="BMQ228" s="12"/>
      <c r="BMR228" s="12"/>
      <c r="BMS228" s="12"/>
      <c r="BMT228" s="12"/>
      <c r="BMU228" s="12"/>
      <c r="BMV228" s="12"/>
      <c r="BMW228" s="12"/>
      <c r="BMX228" s="12"/>
      <c r="BMY228" s="12"/>
      <c r="BMZ228" s="12"/>
      <c r="BNA228" s="12"/>
      <c r="BNB228" s="12"/>
      <c r="BNC228" s="12"/>
      <c r="BND228" s="12"/>
      <c r="BNE228" s="12"/>
      <c r="BNF228" s="12"/>
      <c r="BNG228" s="12"/>
      <c r="BNH228" s="12"/>
      <c r="BNI228" s="12"/>
      <c r="BNJ228" s="12"/>
      <c r="BNK228" s="12"/>
      <c r="BNL228" s="12"/>
      <c r="BNM228" s="12"/>
      <c r="BNN228" s="12"/>
      <c r="BNO228" s="12"/>
      <c r="BNP228" s="12"/>
      <c r="BNQ228" s="12"/>
      <c r="BNR228" s="12"/>
      <c r="BNS228" s="12"/>
      <c r="BNT228" s="12"/>
      <c r="BNU228" s="12"/>
      <c r="BNV228" s="12"/>
      <c r="BNW228" s="12"/>
      <c r="BNX228" s="12"/>
      <c r="BNY228" s="12"/>
      <c r="BNZ228" s="12"/>
      <c r="BOA228" s="12"/>
      <c r="BOB228" s="12"/>
      <c r="BOC228" s="12"/>
      <c r="BOD228" s="12"/>
      <c r="BOE228" s="12"/>
      <c r="BOF228" s="12"/>
      <c r="BOG228" s="12"/>
      <c r="BOH228" s="12"/>
      <c r="BOI228" s="12"/>
      <c r="BOJ228" s="12"/>
      <c r="BOK228" s="12"/>
      <c r="BOL228" s="12"/>
      <c r="BOM228" s="12"/>
      <c r="BON228" s="12"/>
      <c r="BOO228" s="12"/>
      <c r="BOP228" s="12"/>
      <c r="BOQ228" s="12"/>
      <c r="BOR228" s="12"/>
      <c r="BOS228" s="12"/>
      <c r="BOT228" s="12"/>
      <c r="BOU228" s="12"/>
      <c r="BOV228" s="12"/>
      <c r="BOW228" s="12"/>
      <c r="BOX228" s="12"/>
      <c r="BOY228" s="12"/>
      <c r="BOZ228" s="12"/>
      <c r="BPA228" s="12"/>
      <c r="BPB228" s="12"/>
      <c r="BPC228" s="12"/>
      <c r="BPD228" s="12"/>
      <c r="BPE228" s="12"/>
      <c r="BPF228" s="12"/>
      <c r="BPG228" s="12"/>
      <c r="BPH228" s="12"/>
      <c r="BPI228" s="12"/>
      <c r="BPJ228" s="12"/>
      <c r="BPK228" s="12"/>
      <c r="BPL228" s="12"/>
      <c r="BPM228" s="12"/>
      <c r="BPN228" s="12"/>
      <c r="BPO228" s="12"/>
      <c r="BPP228" s="12"/>
      <c r="BPQ228" s="12"/>
      <c r="BPR228" s="12"/>
      <c r="BPS228" s="12"/>
      <c r="BPT228" s="12"/>
      <c r="BPU228" s="12"/>
      <c r="BPV228" s="12"/>
      <c r="BPW228" s="12"/>
      <c r="BPX228" s="12"/>
      <c r="BPY228" s="12"/>
      <c r="BPZ228" s="12"/>
      <c r="BQA228" s="12"/>
      <c r="BQB228" s="12"/>
      <c r="BQC228" s="12"/>
      <c r="BQD228" s="12"/>
      <c r="BQE228" s="12"/>
      <c r="BQF228" s="12"/>
      <c r="BQG228" s="12"/>
      <c r="BQH228" s="12"/>
      <c r="BQI228" s="12"/>
      <c r="BQJ228" s="12"/>
      <c r="BQK228" s="12"/>
      <c r="BQL228" s="12"/>
      <c r="BQM228" s="12"/>
      <c r="BQN228" s="12"/>
      <c r="BQO228" s="12"/>
      <c r="BQP228" s="12"/>
      <c r="BQQ228" s="12"/>
      <c r="BQR228" s="12"/>
      <c r="BQS228" s="12"/>
      <c r="BQT228" s="12"/>
      <c r="BQU228" s="12"/>
      <c r="BQV228" s="12"/>
      <c r="BQW228" s="12"/>
      <c r="BQX228" s="12"/>
      <c r="BQY228" s="12"/>
      <c r="BQZ228" s="12"/>
      <c r="BRA228" s="12"/>
      <c r="BRB228" s="12"/>
      <c r="BRC228" s="12"/>
      <c r="BRD228" s="12"/>
      <c r="BRE228" s="12"/>
      <c r="BRF228" s="12"/>
      <c r="BRG228" s="12"/>
      <c r="BRH228" s="12"/>
      <c r="BRI228" s="12"/>
      <c r="BRJ228" s="12"/>
      <c r="BRK228" s="12"/>
      <c r="BRL228" s="12"/>
      <c r="BRM228" s="12"/>
      <c r="BRN228" s="12"/>
      <c r="BRO228" s="12"/>
      <c r="BRP228" s="12"/>
      <c r="BRQ228" s="12"/>
      <c r="BRR228" s="12"/>
      <c r="BRS228" s="12"/>
      <c r="BRT228" s="12"/>
      <c r="BRU228" s="12"/>
      <c r="BRV228" s="12"/>
      <c r="BRW228" s="12"/>
      <c r="BRX228" s="12"/>
      <c r="BRY228" s="12"/>
      <c r="BRZ228" s="12"/>
      <c r="BSA228" s="12"/>
      <c r="BSB228" s="12"/>
      <c r="BSC228" s="12"/>
      <c r="BSD228" s="12"/>
      <c r="BSE228" s="12"/>
      <c r="BSF228" s="12"/>
      <c r="BSG228" s="12"/>
      <c r="BSH228" s="12"/>
      <c r="BSI228" s="12"/>
      <c r="BSJ228" s="12"/>
      <c r="BSK228" s="12"/>
      <c r="BSL228" s="12"/>
      <c r="BSM228" s="12"/>
      <c r="BSN228" s="12"/>
      <c r="BSO228" s="12"/>
      <c r="BSP228" s="12"/>
      <c r="BSQ228" s="12"/>
      <c r="BSR228" s="12"/>
      <c r="BSS228" s="12"/>
      <c r="BST228" s="12"/>
      <c r="BSU228" s="12"/>
      <c r="BSV228" s="12"/>
      <c r="BSW228" s="12"/>
      <c r="BSX228" s="12"/>
      <c r="BSY228" s="12"/>
      <c r="BSZ228" s="12"/>
      <c r="BTA228" s="12"/>
      <c r="BTB228" s="12"/>
      <c r="BTC228" s="12"/>
      <c r="BTD228" s="12"/>
      <c r="BTE228" s="12"/>
      <c r="BTF228" s="12"/>
      <c r="BTG228" s="12"/>
      <c r="BTH228" s="12"/>
      <c r="BTI228" s="12"/>
      <c r="BTJ228" s="12"/>
      <c r="BTK228" s="12"/>
      <c r="BTL228" s="12"/>
      <c r="BTM228" s="12"/>
      <c r="BTN228" s="12"/>
      <c r="BTO228" s="12"/>
      <c r="BTP228" s="12"/>
      <c r="BTQ228" s="12"/>
      <c r="BTR228" s="12"/>
      <c r="BTS228" s="12"/>
      <c r="BTT228" s="12"/>
      <c r="BTU228" s="12"/>
      <c r="BTV228" s="12"/>
      <c r="BTW228" s="12"/>
      <c r="BTX228" s="12"/>
      <c r="BTY228" s="12"/>
      <c r="BTZ228" s="12"/>
      <c r="BUA228" s="12"/>
      <c r="BUB228" s="12"/>
      <c r="BUC228" s="12"/>
      <c r="BUD228" s="12"/>
      <c r="BUE228" s="12"/>
      <c r="BUF228" s="12"/>
      <c r="BUG228" s="12"/>
      <c r="BUH228" s="12"/>
      <c r="BUI228" s="12"/>
      <c r="BUJ228" s="12"/>
      <c r="BUK228" s="12"/>
      <c r="BUL228" s="12"/>
      <c r="BUM228" s="12"/>
      <c r="BUN228" s="12"/>
      <c r="BUO228" s="12"/>
      <c r="BUP228" s="12"/>
      <c r="BUQ228" s="12"/>
      <c r="BUR228" s="12"/>
      <c r="BUS228" s="12"/>
      <c r="BUT228" s="12"/>
      <c r="BUU228" s="12"/>
      <c r="BUV228" s="12"/>
      <c r="BUW228" s="12"/>
      <c r="BUX228" s="12"/>
      <c r="BUY228" s="12"/>
      <c r="BUZ228" s="12"/>
      <c r="BVA228" s="12"/>
      <c r="BVB228" s="12"/>
      <c r="BVC228" s="12"/>
      <c r="BVD228" s="12"/>
      <c r="BVE228" s="12"/>
      <c r="BVF228" s="12"/>
      <c r="BVG228" s="12"/>
      <c r="BVH228" s="12"/>
      <c r="BVI228" s="12"/>
      <c r="BVJ228" s="12"/>
      <c r="BVK228" s="12"/>
      <c r="BVL228" s="12"/>
      <c r="BVM228" s="12"/>
      <c r="BVN228" s="12"/>
      <c r="BVO228" s="12"/>
      <c r="BVP228" s="12"/>
      <c r="BVQ228" s="12"/>
      <c r="BVR228" s="12"/>
      <c r="BVS228" s="12"/>
      <c r="BVT228" s="12"/>
      <c r="BVU228" s="12"/>
      <c r="BVV228" s="12"/>
      <c r="BVW228" s="12"/>
      <c r="BVX228" s="12"/>
      <c r="BVY228" s="12"/>
      <c r="BVZ228" s="12"/>
      <c r="BWA228" s="12"/>
      <c r="BWB228" s="12"/>
      <c r="BWC228" s="12"/>
      <c r="BWD228" s="12"/>
      <c r="BWE228" s="12"/>
      <c r="BWF228" s="12"/>
      <c r="BWG228" s="12"/>
      <c r="BWH228" s="12"/>
      <c r="BWI228" s="12"/>
      <c r="BWJ228" s="12"/>
      <c r="BWK228" s="12"/>
      <c r="BWL228" s="12"/>
      <c r="BWM228" s="12"/>
      <c r="BWN228" s="12"/>
      <c r="BWO228" s="12"/>
      <c r="BWP228" s="12"/>
      <c r="BWQ228" s="12"/>
      <c r="BWR228" s="12"/>
      <c r="BWS228" s="12"/>
      <c r="BWT228" s="12"/>
      <c r="BWU228" s="12"/>
      <c r="BWV228" s="12"/>
      <c r="BWW228" s="12"/>
      <c r="BWX228" s="12"/>
      <c r="BWY228" s="12"/>
      <c r="BWZ228" s="12"/>
      <c r="BXA228" s="12"/>
      <c r="BXB228" s="12"/>
      <c r="BXC228" s="12"/>
      <c r="BXD228" s="12"/>
      <c r="BXE228" s="12"/>
      <c r="BXF228" s="12"/>
      <c r="BXG228" s="12"/>
      <c r="BXH228" s="12"/>
      <c r="BXI228" s="12"/>
      <c r="BXJ228" s="12"/>
      <c r="BXK228" s="12"/>
      <c r="BXL228" s="12"/>
      <c r="BXM228" s="12"/>
      <c r="BXN228" s="12"/>
      <c r="BXO228" s="12"/>
      <c r="BXP228" s="12"/>
      <c r="BXQ228" s="12"/>
      <c r="BXR228" s="12"/>
      <c r="BXS228" s="12"/>
      <c r="BXT228" s="12"/>
      <c r="BXU228" s="12"/>
      <c r="BXV228" s="12"/>
      <c r="BXW228" s="12"/>
      <c r="BXX228" s="12"/>
      <c r="BXY228" s="12"/>
      <c r="BXZ228" s="12"/>
      <c r="BYA228" s="12"/>
      <c r="BYB228" s="12"/>
      <c r="BYC228" s="12"/>
      <c r="BYD228" s="12"/>
      <c r="BYE228" s="12"/>
      <c r="BYF228" s="12"/>
      <c r="BYG228" s="12"/>
      <c r="BYH228" s="12"/>
      <c r="BYI228" s="12"/>
      <c r="BYJ228" s="12"/>
      <c r="BYK228" s="12"/>
      <c r="BYL228" s="12"/>
      <c r="BYM228" s="12"/>
      <c r="BYN228" s="12"/>
      <c r="BYO228" s="12"/>
      <c r="BYP228" s="12"/>
      <c r="BYQ228" s="12"/>
      <c r="BYR228" s="12"/>
      <c r="BYS228" s="12"/>
      <c r="BYT228" s="12"/>
      <c r="BYU228" s="12"/>
      <c r="BYV228" s="12"/>
      <c r="BYW228" s="12"/>
      <c r="BYX228" s="12"/>
      <c r="BYY228" s="12"/>
      <c r="BYZ228" s="12"/>
      <c r="BZA228" s="12"/>
      <c r="BZB228" s="12"/>
      <c r="BZC228" s="12"/>
      <c r="BZD228" s="12"/>
      <c r="BZE228" s="12"/>
      <c r="BZF228" s="12"/>
      <c r="BZG228" s="12"/>
      <c r="BZH228" s="12"/>
      <c r="BZI228" s="12"/>
      <c r="BZJ228" s="12"/>
      <c r="BZK228" s="12"/>
      <c r="BZL228" s="12"/>
      <c r="BZM228" s="12"/>
      <c r="BZN228" s="12"/>
      <c r="BZO228" s="12"/>
      <c r="BZP228" s="12"/>
      <c r="BZQ228" s="12"/>
      <c r="BZR228" s="12"/>
      <c r="BZS228" s="12"/>
      <c r="BZT228" s="12"/>
      <c r="BZU228" s="12"/>
      <c r="BZV228" s="12"/>
      <c r="BZW228" s="12"/>
      <c r="BZX228" s="12"/>
      <c r="BZY228" s="12"/>
      <c r="BZZ228" s="12"/>
      <c r="CAA228" s="12"/>
      <c r="CAB228" s="12"/>
      <c r="CAC228" s="12"/>
      <c r="CAD228" s="12"/>
      <c r="CAE228" s="12"/>
      <c r="CAF228" s="12"/>
      <c r="CAG228" s="12"/>
      <c r="CAH228" s="12"/>
      <c r="CAI228" s="12"/>
      <c r="CAJ228" s="12"/>
      <c r="CAK228" s="12"/>
      <c r="CAL228" s="12"/>
      <c r="CAM228" s="12"/>
      <c r="CAN228" s="12"/>
      <c r="CAO228" s="12"/>
      <c r="CAP228" s="12"/>
      <c r="CAQ228" s="12"/>
      <c r="CAR228" s="12"/>
      <c r="CAS228" s="12"/>
      <c r="CAT228" s="12"/>
      <c r="CAU228" s="12"/>
      <c r="CAV228" s="12"/>
      <c r="CAW228" s="12"/>
      <c r="CAX228" s="12"/>
      <c r="CAY228" s="12"/>
      <c r="CAZ228" s="12"/>
      <c r="CBA228" s="12"/>
      <c r="CBB228" s="12"/>
      <c r="CBC228" s="12"/>
      <c r="CBD228" s="12"/>
      <c r="CBE228" s="12"/>
      <c r="CBF228" s="12"/>
      <c r="CBG228" s="12"/>
      <c r="CBH228" s="12"/>
      <c r="CBI228" s="12"/>
      <c r="CBJ228" s="12"/>
      <c r="CBK228" s="12"/>
      <c r="CBL228" s="12"/>
      <c r="CBM228" s="12"/>
      <c r="CBN228" s="12"/>
      <c r="CBO228" s="12"/>
      <c r="CBP228" s="12"/>
      <c r="CBQ228" s="12"/>
      <c r="CBR228" s="12"/>
      <c r="CBS228" s="12"/>
      <c r="CBT228" s="12"/>
      <c r="CBU228" s="12"/>
      <c r="CBV228" s="12"/>
      <c r="CBW228" s="12"/>
      <c r="CBX228" s="12"/>
      <c r="CBY228" s="12"/>
      <c r="CBZ228" s="12"/>
      <c r="CCA228" s="12"/>
      <c r="CCB228" s="12"/>
      <c r="CCC228" s="12"/>
      <c r="CCD228" s="12"/>
      <c r="CCE228" s="12"/>
      <c r="CCF228" s="12"/>
      <c r="CCG228" s="12"/>
      <c r="CCH228" s="12"/>
      <c r="CCI228" s="12"/>
      <c r="CCJ228" s="12"/>
      <c r="CCK228" s="12"/>
      <c r="CCL228" s="12"/>
      <c r="CCM228" s="12"/>
      <c r="CCN228" s="12"/>
      <c r="CCO228" s="12"/>
      <c r="CCP228" s="12"/>
      <c r="CCQ228" s="12"/>
      <c r="CCR228" s="12"/>
      <c r="CCS228" s="12"/>
      <c r="CCT228" s="12"/>
      <c r="CCU228" s="12"/>
      <c r="CCV228" s="12"/>
      <c r="CCW228" s="12"/>
      <c r="CCX228" s="12"/>
      <c r="CCY228" s="12"/>
      <c r="CCZ228" s="12"/>
      <c r="CDA228" s="12"/>
      <c r="CDB228" s="12"/>
      <c r="CDC228" s="12"/>
      <c r="CDD228" s="12"/>
      <c r="CDE228" s="12"/>
      <c r="CDF228" s="12"/>
      <c r="CDG228" s="12"/>
      <c r="CDH228" s="12"/>
      <c r="CDI228" s="12"/>
      <c r="CDJ228" s="12"/>
      <c r="CDK228" s="12"/>
      <c r="CDL228" s="12"/>
      <c r="CDM228" s="12"/>
      <c r="CDN228" s="12"/>
      <c r="CDO228" s="12"/>
      <c r="CDP228" s="12"/>
      <c r="CDQ228" s="12"/>
      <c r="CDR228" s="12"/>
      <c r="CDS228" s="12"/>
      <c r="CDT228" s="12"/>
      <c r="CDU228" s="12"/>
      <c r="CDV228" s="12"/>
      <c r="CDW228" s="12"/>
      <c r="CDX228" s="12"/>
      <c r="CDY228" s="12"/>
      <c r="CDZ228" s="12"/>
      <c r="CEA228" s="12"/>
      <c r="CEB228" s="12"/>
      <c r="CEC228" s="12"/>
      <c r="CED228" s="12"/>
      <c r="CEE228" s="12"/>
      <c r="CEF228" s="12"/>
      <c r="CEG228" s="12"/>
      <c r="CEH228" s="12"/>
      <c r="CEI228" s="12"/>
      <c r="CEJ228" s="12"/>
      <c r="CEK228" s="12"/>
      <c r="CEL228" s="12"/>
      <c r="CEM228" s="12"/>
      <c r="CEN228" s="12"/>
      <c r="CEO228" s="12"/>
      <c r="CEP228" s="12"/>
      <c r="CEQ228" s="12"/>
      <c r="CER228" s="12"/>
      <c r="CES228" s="12"/>
      <c r="CET228" s="12"/>
      <c r="CEU228" s="12"/>
      <c r="CEV228" s="12"/>
      <c r="CEW228" s="12"/>
      <c r="CEX228" s="12"/>
      <c r="CEY228" s="12"/>
      <c r="CEZ228" s="12"/>
      <c r="CFA228" s="12"/>
      <c r="CFB228" s="12"/>
      <c r="CFC228" s="12"/>
      <c r="CFD228" s="12"/>
      <c r="CFE228" s="12"/>
      <c r="CFF228" s="12"/>
      <c r="CFG228" s="12"/>
      <c r="CFH228" s="12"/>
      <c r="CFI228" s="12"/>
      <c r="CFJ228" s="12"/>
      <c r="CFK228" s="12"/>
      <c r="CFL228" s="12"/>
      <c r="CFM228" s="12"/>
      <c r="CFN228" s="12"/>
      <c r="CFO228" s="12"/>
      <c r="CFP228" s="12"/>
      <c r="CFQ228" s="12"/>
      <c r="CFR228" s="12"/>
      <c r="CFS228" s="12"/>
      <c r="CFT228" s="12"/>
      <c r="CFU228" s="12"/>
      <c r="CFV228" s="12"/>
      <c r="CFW228" s="12"/>
      <c r="CFX228" s="12"/>
      <c r="CFY228" s="12"/>
      <c r="CFZ228" s="12"/>
      <c r="CGA228" s="12"/>
      <c r="CGB228" s="12"/>
      <c r="CGC228" s="12"/>
      <c r="CGD228" s="12"/>
      <c r="CGE228" s="12"/>
      <c r="CGF228" s="12"/>
      <c r="CGG228" s="12"/>
      <c r="CGH228" s="12"/>
      <c r="CGI228" s="12"/>
      <c r="CGJ228" s="12"/>
      <c r="CGK228" s="12"/>
      <c r="CGL228" s="12"/>
      <c r="CGM228" s="12"/>
      <c r="CGN228" s="12"/>
      <c r="CGO228" s="12"/>
      <c r="CGP228" s="12"/>
      <c r="CGQ228" s="12"/>
      <c r="CGR228" s="12"/>
      <c r="CGS228" s="12"/>
      <c r="CGT228" s="12"/>
      <c r="CGU228" s="12"/>
      <c r="CGV228" s="12"/>
      <c r="CGW228" s="12"/>
      <c r="CGX228" s="12"/>
      <c r="CGY228" s="12"/>
      <c r="CGZ228" s="12"/>
      <c r="CHA228" s="12"/>
      <c r="CHB228" s="12"/>
      <c r="CHC228" s="12"/>
      <c r="CHD228" s="12"/>
      <c r="CHE228" s="12"/>
      <c r="CHF228" s="12"/>
      <c r="CHG228" s="12"/>
      <c r="CHH228" s="12"/>
      <c r="CHI228" s="12"/>
      <c r="CHJ228" s="12"/>
      <c r="CHK228" s="12"/>
      <c r="CHL228" s="12"/>
      <c r="CHM228" s="12"/>
      <c r="CHN228" s="12"/>
      <c r="CHO228" s="12"/>
      <c r="CHP228" s="12"/>
      <c r="CHQ228" s="12"/>
      <c r="CHR228" s="12"/>
      <c r="CHS228" s="12"/>
      <c r="CHT228" s="12"/>
      <c r="CHU228" s="12"/>
      <c r="CHV228" s="12"/>
      <c r="CHW228" s="12"/>
      <c r="CHX228" s="12"/>
      <c r="CHY228" s="12"/>
      <c r="CHZ228" s="12"/>
      <c r="CIA228" s="12"/>
      <c r="CIB228" s="12"/>
      <c r="CIC228" s="12"/>
      <c r="CID228" s="12"/>
      <c r="CIE228" s="12"/>
      <c r="CIF228" s="12"/>
      <c r="CIG228" s="12"/>
      <c r="CIH228" s="12"/>
      <c r="CII228" s="12"/>
      <c r="CIJ228" s="12"/>
      <c r="CIK228" s="12"/>
      <c r="CIL228" s="12"/>
      <c r="CIM228" s="12"/>
      <c r="CIN228" s="12"/>
      <c r="CIO228" s="12"/>
      <c r="CIP228" s="12"/>
      <c r="CIQ228" s="12"/>
      <c r="CIR228" s="12"/>
      <c r="CIS228" s="12"/>
      <c r="CIT228" s="12"/>
      <c r="CIU228" s="12"/>
      <c r="CIV228" s="12"/>
      <c r="CIW228" s="12"/>
      <c r="CIX228" s="12"/>
      <c r="CIY228" s="12"/>
      <c r="CIZ228" s="12"/>
      <c r="CJA228" s="12"/>
      <c r="CJB228" s="12"/>
      <c r="CJC228" s="12"/>
      <c r="CJD228" s="12"/>
      <c r="CJE228" s="12"/>
      <c r="CJF228" s="12"/>
      <c r="CJG228" s="12"/>
      <c r="CJH228" s="12"/>
      <c r="CJI228" s="12"/>
      <c r="CJJ228" s="12"/>
      <c r="CJK228" s="12"/>
      <c r="CJL228" s="12"/>
      <c r="CJM228" s="12"/>
      <c r="CJN228" s="12"/>
      <c r="CJO228" s="12"/>
      <c r="CJP228" s="12"/>
      <c r="CJQ228" s="12"/>
      <c r="CJR228" s="12"/>
      <c r="CJS228" s="12"/>
      <c r="CJT228" s="12"/>
      <c r="CJU228" s="12"/>
      <c r="CJV228" s="12"/>
      <c r="CJW228" s="12"/>
      <c r="CJX228" s="12"/>
      <c r="CJY228" s="12"/>
      <c r="CJZ228" s="12"/>
      <c r="CKA228" s="12"/>
      <c r="CKB228" s="12"/>
      <c r="CKC228" s="12"/>
      <c r="CKD228" s="12"/>
      <c r="CKE228" s="12"/>
      <c r="CKF228" s="12"/>
      <c r="CKG228" s="12"/>
      <c r="CKH228" s="12"/>
      <c r="CKI228" s="12"/>
      <c r="CKJ228" s="12"/>
      <c r="CKK228" s="12"/>
      <c r="CKL228" s="12"/>
      <c r="CKM228" s="12"/>
      <c r="CKN228" s="12"/>
      <c r="CKO228" s="12"/>
      <c r="CKP228" s="12"/>
      <c r="CKQ228" s="12"/>
      <c r="CKR228" s="12"/>
      <c r="CKS228" s="12"/>
      <c r="CKT228" s="12"/>
      <c r="CKU228" s="12"/>
      <c r="CKV228" s="12"/>
      <c r="CKW228" s="12"/>
      <c r="CKX228" s="12"/>
      <c r="CKY228" s="12"/>
      <c r="CKZ228" s="12"/>
      <c r="CLA228" s="12"/>
      <c r="CLB228" s="12"/>
      <c r="CLC228" s="12"/>
      <c r="CLD228" s="12"/>
      <c r="CLE228" s="12"/>
      <c r="CLF228" s="12"/>
      <c r="CLG228" s="12"/>
      <c r="CLH228" s="12"/>
      <c r="CLI228" s="12"/>
      <c r="CLJ228" s="12"/>
      <c r="CLK228" s="12"/>
      <c r="CLL228" s="12"/>
      <c r="CLM228" s="12"/>
      <c r="CLN228" s="12"/>
      <c r="CLO228" s="12"/>
      <c r="CLP228" s="12"/>
      <c r="CLQ228" s="12"/>
      <c r="CLR228" s="12"/>
      <c r="CLS228" s="12"/>
      <c r="CLT228" s="12"/>
      <c r="CLU228" s="12"/>
      <c r="CLV228" s="12"/>
      <c r="CLW228" s="12"/>
      <c r="CLX228" s="12"/>
      <c r="CLY228" s="12"/>
      <c r="CLZ228" s="12"/>
      <c r="CMA228" s="12"/>
      <c r="CMB228" s="12"/>
      <c r="CMC228" s="12"/>
      <c r="CMD228" s="12"/>
      <c r="CME228" s="12"/>
      <c r="CMF228" s="12"/>
      <c r="CMG228" s="12"/>
      <c r="CMH228" s="12"/>
      <c r="CMI228" s="12"/>
      <c r="CMJ228" s="12"/>
      <c r="CMK228" s="12"/>
      <c r="CML228" s="12"/>
      <c r="CMM228" s="12"/>
      <c r="CMN228" s="12"/>
      <c r="CMO228" s="12"/>
      <c r="CMP228" s="12"/>
      <c r="CMQ228" s="12"/>
      <c r="CMR228" s="12"/>
      <c r="CMS228" s="12"/>
      <c r="CMT228" s="12"/>
      <c r="CMU228" s="12"/>
      <c r="CMV228" s="12"/>
      <c r="CMW228" s="12"/>
      <c r="CMX228" s="12"/>
      <c r="CMY228" s="12"/>
      <c r="CMZ228" s="12"/>
      <c r="CNA228" s="12"/>
      <c r="CNB228" s="12"/>
      <c r="CNC228" s="12"/>
      <c r="CND228" s="12"/>
      <c r="CNE228" s="12"/>
      <c r="CNF228" s="12"/>
      <c r="CNG228" s="12"/>
      <c r="CNH228" s="12"/>
      <c r="CNI228" s="12"/>
      <c r="CNJ228" s="12"/>
      <c r="CNK228" s="12"/>
      <c r="CNL228" s="12"/>
      <c r="CNM228" s="12"/>
      <c r="CNN228" s="12"/>
      <c r="CNO228" s="12"/>
      <c r="CNP228" s="12"/>
      <c r="CNQ228" s="12"/>
      <c r="CNR228" s="12"/>
      <c r="CNS228" s="12"/>
      <c r="CNT228" s="12"/>
      <c r="CNU228" s="12"/>
      <c r="CNV228" s="12"/>
      <c r="CNW228" s="12"/>
      <c r="CNX228" s="12"/>
      <c r="CNY228" s="12"/>
      <c r="CNZ228" s="12"/>
      <c r="COA228" s="12"/>
      <c r="COB228" s="12"/>
      <c r="COC228" s="12"/>
      <c r="COD228" s="12"/>
      <c r="COE228" s="12"/>
      <c r="COF228" s="12"/>
      <c r="COG228" s="12"/>
      <c r="COH228" s="12"/>
      <c r="COI228" s="12"/>
      <c r="COJ228" s="12"/>
      <c r="COK228" s="12"/>
      <c r="COL228" s="12"/>
      <c r="COM228" s="12"/>
      <c r="CON228" s="12"/>
      <c r="COO228" s="12"/>
      <c r="COP228" s="12"/>
      <c r="COQ228" s="12"/>
      <c r="COR228" s="12"/>
      <c r="COS228" s="12"/>
      <c r="COT228" s="12"/>
      <c r="COU228" s="12"/>
      <c r="COV228" s="12"/>
      <c r="COW228" s="12"/>
      <c r="COX228" s="12"/>
      <c r="COY228" s="12"/>
      <c r="COZ228" s="12"/>
      <c r="CPA228" s="12"/>
      <c r="CPB228" s="12"/>
      <c r="CPC228" s="12"/>
      <c r="CPD228" s="12"/>
      <c r="CPE228" s="12"/>
      <c r="CPF228" s="12"/>
      <c r="CPG228" s="12"/>
      <c r="CPH228" s="12"/>
      <c r="CPI228" s="12"/>
      <c r="CPJ228" s="12"/>
      <c r="CPK228" s="12"/>
      <c r="CPL228" s="12"/>
      <c r="CPM228" s="12"/>
      <c r="CPN228" s="12"/>
      <c r="CPO228" s="12"/>
      <c r="CPP228" s="12"/>
      <c r="CPQ228" s="12"/>
      <c r="CPR228" s="12"/>
      <c r="CPS228" s="12"/>
      <c r="CPT228" s="12"/>
      <c r="CPU228" s="12"/>
      <c r="CPV228" s="12"/>
      <c r="CPW228" s="12"/>
      <c r="CPX228" s="12"/>
      <c r="CPY228" s="12"/>
      <c r="CPZ228" s="12"/>
      <c r="CQA228" s="12"/>
      <c r="CQB228" s="12"/>
      <c r="CQC228" s="12"/>
      <c r="CQD228" s="12"/>
      <c r="CQE228" s="12"/>
      <c r="CQF228" s="12"/>
      <c r="CQG228" s="12"/>
      <c r="CQH228" s="12"/>
      <c r="CQI228" s="12"/>
      <c r="CQJ228" s="12"/>
      <c r="CQK228" s="12"/>
      <c r="CQL228" s="12"/>
      <c r="CQM228" s="12"/>
      <c r="CQN228" s="12"/>
      <c r="CQO228" s="12"/>
      <c r="CQP228" s="12"/>
      <c r="CQQ228" s="12"/>
      <c r="CQR228" s="12"/>
      <c r="CQS228" s="12"/>
      <c r="CQT228" s="12"/>
      <c r="CQU228" s="12"/>
      <c r="CQV228" s="12"/>
      <c r="CQW228" s="12"/>
      <c r="CQX228" s="12"/>
      <c r="CQY228" s="12"/>
      <c r="CQZ228" s="12"/>
      <c r="CRA228" s="12"/>
      <c r="CRB228" s="12"/>
      <c r="CRC228" s="12"/>
      <c r="CRD228" s="12"/>
      <c r="CRE228" s="12"/>
      <c r="CRF228" s="12"/>
      <c r="CRG228" s="12"/>
      <c r="CRH228" s="12"/>
      <c r="CRI228" s="12"/>
      <c r="CRJ228" s="12"/>
      <c r="CRK228" s="12"/>
      <c r="CRL228" s="12"/>
      <c r="CRM228" s="12"/>
      <c r="CRN228" s="12"/>
      <c r="CRO228" s="12"/>
      <c r="CRP228" s="12"/>
      <c r="CRQ228" s="12"/>
      <c r="CRR228" s="12"/>
      <c r="CRS228" s="12"/>
      <c r="CRT228" s="12"/>
      <c r="CRU228" s="12"/>
      <c r="CRV228" s="12"/>
      <c r="CRW228" s="12"/>
      <c r="CRX228" s="12"/>
      <c r="CRY228" s="12"/>
      <c r="CRZ228" s="12"/>
      <c r="CSA228" s="12"/>
      <c r="CSB228" s="12"/>
      <c r="CSC228" s="12"/>
      <c r="CSD228" s="12"/>
      <c r="CSE228" s="12"/>
      <c r="CSF228" s="12"/>
      <c r="CSG228" s="12"/>
      <c r="CSH228" s="12"/>
      <c r="CSI228" s="12"/>
      <c r="CSJ228" s="12"/>
      <c r="CSK228" s="12"/>
      <c r="CSL228" s="12"/>
      <c r="CSM228" s="12"/>
      <c r="CSN228" s="12"/>
      <c r="CSO228" s="12"/>
      <c r="CSP228" s="12"/>
      <c r="CSQ228" s="12"/>
      <c r="CSR228" s="12"/>
      <c r="CSS228" s="12"/>
      <c r="CST228" s="12"/>
      <c r="CSU228" s="12"/>
      <c r="CSV228" s="12"/>
      <c r="CSW228" s="12"/>
      <c r="CSX228" s="12"/>
      <c r="CSY228" s="12"/>
      <c r="CSZ228" s="12"/>
      <c r="CTA228" s="12"/>
      <c r="CTB228" s="12"/>
      <c r="CTC228" s="12"/>
      <c r="CTD228" s="12"/>
      <c r="CTE228" s="12"/>
      <c r="CTF228" s="12"/>
      <c r="CTG228" s="12"/>
      <c r="CTH228" s="12"/>
      <c r="CTI228" s="12"/>
      <c r="CTJ228" s="12"/>
      <c r="CTK228" s="12"/>
      <c r="CTL228" s="12"/>
      <c r="CTM228" s="12"/>
      <c r="CTN228" s="12"/>
      <c r="CTO228" s="12"/>
      <c r="CTP228" s="12"/>
      <c r="CTQ228" s="12"/>
      <c r="CTR228" s="12"/>
      <c r="CTS228" s="12"/>
      <c r="CTT228" s="12"/>
      <c r="CTU228" s="12"/>
      <c r="CTV228" s="12"/>
      <c r="CTW228" s="12"/>
      <c r="CTX228" s="12"/>
      <c r="CTY228" s="12"/>
      <c r="CTZ228" s="12"/>
      <c r="CUA228" s="12"/>
      <c r="CUB228" s="12"/>
      <c r="CUC228" s="12"/>
      <c r="CUD228" s="12"/>
      <c r="CUE228" s="12"/>
      <c r="CUF228" s="12"/>
      <c r="CUG228" s="12"/>
      <c r="CUH228" s="12"/>
      <c r="CUI228" s="12"/>
      <c r="CUJ228" s="12"/>
      <c r="CUK228" s="12"/>
      <c r="CUL228" s="12"/>
      <c r="CUM228" s="12"/>
      <c r="CUN228" s="12"/>
      <c r="CUO228" s="12"/>
      <c r="CUP228" s="12"/>
      <c r="CUQ228" s="12"/>
      <c r="CUR228" s="12"/>
      <c r="CUS228" s="12"/>
      <c r="CUT228" s="12"/>
      <c r="CUU228" s="12"/>
      <c r="CUV228" s="12"/>
      <c r="CUW228" s="12"/>
      <c r="CUX228" s="12"/>
      <c r="CUY228" s="12"/>
      <c r="CUZ228" s="12"/>
      <c r="CVA228" s="12"/>
      <c r="CVB228" s="12"/>
      <c r="CVC228" s="12"/>
      <c r="CVD228" s="12"/>
      <c r="CVE228" s="12"/>
      <c r="CVF228" s="12"/>
      <c r="CVG228" s="12"/>
      <c r="CVH228" s="12"/>
      <c r="CVI228" s="12"/>
      <c r="CVJ228" s="12"/>
      <c r="CVK228" s="12"/>
      <c r="CVL228" s="12"/>
      <c r="CVM228" s="12"/>
      <c r="CVN228" s="12"/>
      <c r="CVO228" s="12"/>
      <c r="CVP228" s="12"/>
      <c r="CVQ228" s="12"/>
      <c r="CVR228" s="12"/>
      <c r="CVS228" s="12"/>
      <c r="CVT228" s="12"/>
      <c r="CVU228" s="12"/>
      <c r="CVV228" s="12"/>
      <c r="CVW228" s="12"/>
      <c r="CVX228" s="12"/>
      <c r="CVY228" s="12"/>
      <c r="CVZ228" s="12"/>
      <c r="CWA228" s="12"/>
      <c r="CWB228" s="12"/>
      <c r="CWC228" s="12"/>
      <c r="CWD228" s="12"/>
      <c r="CWE228" s="12"/>
      <c r="CWF228" s="12"/>
      <c r="CWG228" s="12"/>
      <c r="CWH228" s="12"/>
      <c r="CWI228" s="12"/>
      <c r="CWJ228" s="12"/>
      <c r="CWK228" s="12"/>
      <c r="CWL228" s="12"/>
      <c r="CWM228" s="12"/>
      <c r="CWN228" s="12"/>
      <c r="CWO228" s="12"/>
      <c r="CWP228" s="12"/>
      <c r="CWQ228" s="12"/>
      <c r="CWR228" s="12"/>
      <c r="CWS228" s="12"/>
      <c r="CWT228" s="12"/>
      <c r="CWU228" s="12"/>
      <c r="CWV228" s="12"/>
      <c r="CWW228" s="12"/>
      <c r="CWX228" s="12"/>
      <c r="CWY228" s="12"/>
      <c r="CWZ228" s="12"/>
      <c r="CXA228" s="12"/>
      <c r="CXB228" s="12"/>
      <c r="CXC228" s="12"/>
      <c r="CXD228" s="12"/>
      <c r="CXE228" s="12"/>
      <c r="CXF228" s="12"/>
      <c r="CXG228" s="12"/>
      <c r="CXH228" s="12"/>
      <c r="CXI228" s="12"/>
      <c r="CXJ228" s="12"/>
      <c r="CXK228" s="12"/>
      <c r="CXL228" s="12"/>
      <c r="CXM228" s="12"/>
      <c r="CXN228" s="12"/>
      <c r="CXO228" s="12"/>
      <c r="CXP228" s="12"/>
      <c r="CXQ228" s="12"/>
      <c r="CXR228" s="12"/>
      <c r="CXS228" s="12"/>
      <c r="CXT228" s="12"/>
      <c r="CXU228" s="12"/>
      <c r="CXV228" s="12"/>
      <c r="CXW228" s="12"/>
      <c r="CXX228" s="12"/>
      <c r="CXY228" s="12"/>
      <c r="CXZ228" s="12"/>
      <c r="CYA228" s="12"/>
      <c r="CYB228" s="12"/>
      <c r="CYC228" s="12"/>
      <c r="CYD228" s="12"/>
      <c r="CYE228" s="12"/>
      <c r="CYF228" s="12"/>
      <c r="CYG228" s="12"/>
      <c r="CYH228" s="12"/>
      <c r="CYI228" s="12"/>
      <c r="CYJ228" s="12"/>
      <c r="CYK228" s="12"/>
      <c r="CYL228" s="12"/>
      <c r="CYM228" s="12"/>
      <c r="CYN228" s="12"/>
      <c r="CYO228" s="12"/>
      <c r="CYP228" s="12"/>
      <c r="CYQ228" s="12"/>
      <c r="CYR228" s="12"/>
      <c r="CYS228" s="12"/>
      <c r="CYT228" s="12"/>
      <c r="CYU228" s="12"/>
      <c r="CYV228" s="12"/>
      <c r="CYW228" s="12"/>
      <c r="CYX228" s="12"/>
      <c r="CYY228" s="12"/>
      <c r="CYZ228" s="12"/>
      <c r="CZA228" s="12"/>
      <c r="CZB228" s="12"/>
      <c r="CZC228" s="12"/>
      <c r="CZD228" s="12"/>
      <c r="CZE228" s="12"/>
      <c r="CZF228" s="12"/>
      <c r="CZG228" s="12"/>
      <c r="CZH228" s="12"/>
      <c r="CZI228" s="12"/>
      <c r="CZJ228" s="12"/>
      <c r="CZK228" s="12"/>
      <c r="CZL228" s="12"/>
      <c r="CZM228" s="12"/>
      <c r="CZN228" s="12"/>
      <c r="CZO228" s="12"/>
      <c r="CZP228" s="12"/>
      <c r="CZQ228" s="12"/>
      <c r="CZR228" s="12"/>
      <c r="CZS228" s="12"/>
      <c r="CZT228" s="12"/>
      <c r="CZU228" s="12"/>
      <c r="CZV228" s="12"/>
      <c r="CZW228" s="12"/>
      <c r="CZX228" s="12"/>
      <c r="CZY228" s="12"/>
      <c r="CZZ228" s="12"/>
      <c r="DAA228" s="12"/>
      <c r="DAB228" s="12"/>
      <c r="DAC228" s="12"/>
      <c r="DAD228" s="12"/>
      <c r="DAE228" s="12"/>
      <c r="DAF228" s="12"/>
      <c r="DAG228" s="12"/>
      <c r="DAH228" s="12"/>
      <c r="DAI228" s="12"/>
      <c r="DAJ228" s="12"/>
      <c r="DAK228" s="12"/>
      <c r="DAL228" s="12"/>
      <c r="DAM228" s="12"/>
      <c r="DAN228" s="12"/>
      <c r="DAO228" s="12"/>
      <c r="DAP228" s="12"/>
      <c r="DAQ228" s="12"/>
      <c r="DAR228" s="12"/>
      <c r="DAS228" s="12"/>
      <c r="DAT228" s="12"/>
      <c r="DAU228" s="12"/>
      <c r="DAV228" s="12"/>
      <c r="DAW228" s="12"/>
      <c r="DAX228" s="12"/>
      <c r="DAY228" s="12"/>
      <c r="DAZ228" s="12"/>
      <c r="DBA228" s="12"/>
      <c r="DBB228" s="12"/>
      <c r="DBC228" s="12"/>
      <c r="DBD228" s="12"/>
      <c r="DBE228" s="12"/>
      <c r="DBF228" s="12"/>
      <c r="DBG228" s="12"/>
      <c r="DBH228" s="12"/>
      <c r="DBI228" s="12"/>
      <c r="DBJ228" s="12"/>
      <c r="DBK228" s="12"/>
      <c r="DBL228" s="12"/>
      <c r="DBM228" s="12"/>
      <c r="DBN228" s="12"/>
      <c r="DBO228" s="12"/>
      <c r="DBP228" s="12"/>
      <c r="DBQ228" s="12"/>
      <c r="DBR228" s="12"/>
      <c r="DBS228" s="12"/>
      <c r="DBT228" s="12"/>
      <c r="DBU228" s="12"/>
      <c r="DBV228" s="12"/>
      <c r="DBW228" s="12"/>
      <c r="DBX228" s="12"/>
      <c r="DBY228" s="12"/>
      <c r="DBZ228" s="12"/>
      <c r="DCA228" s="12"/>
      <c r="DCB228" s="12"/>
      <c r="DCC228" s="12"/>
      <c r="DCD228" s="12"/>
      <c r="DCE228" s="12"/>
      <c r="DCF228" s="12"/>
      <c r="DCG228" s="12"/>
      <c r="DCH228" s="12"/>
      <c r="DCI228" s="12"/>
      <c r="DCJ228" s="12"/>
      <c r="DCK228" s="12"/>
      <c r="DCL228" s="12"/>
      <c r="DCM228" s="12"/>
      <c r="DCN228" s="12"/>
      <c r="DCO228" s="12"/>
      <c r="DCP228" s="12"/>
      <c r="DCQ228" s="12"/>
      <c r="DCR228" s="12"/>
      <c r="DCS228" s="12"/>
      <c r="DCT228" s="12"/>
      <c r="DCU228" s="12"/>
      <c r="DCV228" s="12"/>
      <c r="DCW228" s="12"/>
      <c r="DCX228" s="12"/>
      <c r="DCY228" s="12"/>
      <c r="DCZ228" s="12"/>
      <c r="DDA228" s="12"/>
      <c r="DDB228" s="12"/>
      <c r="DDC228" s="12"/>
      <c r="DDD228" s="12"/>
      <c r="DDE228" s="12"/>
      <c r="DDF228" s="12"/>
      <c r="DDG228" s="12"/>
      <c r="DDH228" s="12"/>
      <c r="DDI228" s="12"/>
      <c r="DDJ228" s="12"/>
      <c r="DDK228" s="12"/>
      <c r="DDL228" s="12"/>
      <c r="DDM228" s="12"/>
      <c r="DDN228" s="12"/>
      <c r="DDO228" s="12"/>
      <c r="DDP228" s="12"/>
      <c r="DDQ228" s="12"/>
      <c r="DDR228" s="12"/>
      <c r="DDS228" s="12"/>
      <c r="DDT228" s="12"/>
      <c r="DDU228" s="12"/>
      <c r="DDV228" s="12"/>
      <c r="DDW228" s="12"/>
      <c r="DDX228" s="12"/>
      <c r="DDY228" s="12"/>
      <c r="DDZ228" s="12"/>
      <c r="DEA228" s="12"/>
      <c r="DEB228" s="12"/>
      <c r="DEC228" s="12"/>
      <c r="DED228" s="12"/>
      <c r="DEE228" s="12"/>
      <c r="DEF228" s="12"/>
      <c r="DEG228" s="12"/>
      <c r="DEH228" s="12"/>
      <c r="DEI228" s="12"/>
      <c r="DEJ228" s="12"/>
      <c r="DEK228" s="12"/>
      <c r="DEL228" s="12"/>
      <c r="DEM228" s="12"/>
      <c r="DEN228" s="12"/>
      <c r="DEO228" s="12"/>
      <c r="DEP228" s="12"/>
      <c r="DEQ228" s="12"/>
      <c r="DER228" s="12"/>
      <c r="DES228" s="12"/>
      <c r="DET228" s="12"/>
      <c r="DEU228" s="12"/>
      <c r="DEV228" s="12"/>
      <c r="DEW228" s="12"/>
      <c r="DEX228" s="12"/>
      <c r="DEY228" s="12"/>
      <c r="DEZ228" s="12"/>
      <c r="DFA228" s="12"/>
      <c r="DFB228" s="12"/>
      <c r="DFC228" s="12"/>
      <c r="DFD228" s="12"/>
      <c r="DFE228" s="12"/>
      <c r="DFF228" s="12"/>
      <c r="DFG228" s="12"/>
      <c r="DFH228" s="12"/>
      <c r="DFI228" s="12"/>
      <c r="DFJ228" s="12"/>
      <c r="DFK228" s="12"/>
      <c r="DFL228" s="12"/>
      <c r="DFM228" s="12"/>
      <c r="DFN228" s="12"/>
      <c r="DFO228" s="12"/>
      <c r="DFP228" s="12"/>
      <c r="DFQ228" s="12"/>
      <c r="DFR228" s="12"/>
      <c r="DFS228" s="12"/>
      <c r="DFT228" s="12"/>
      <c r="DFU228" s="12"/>
      <c r="DFV228" s="12"/>
      <c r="DFW228" s="12"/>
      <c r="DFX228" s="12"/>
      <c r="DFY228" s="12"/>
      <c r="DFZ228" s="12"/>
      <c r="DGA228" s="12"/>
      <c r="DGB228" s="12"/>
      <c r="DGC228" s="12"/>
      <c r="DGD228" s="12"/>
      <c r="DGE228" s="12"/>
      <c r="DGF228" s="12"/>
      <c r="DGG228" s="12"/>
      <c r="DGH228" s="12"/>
      <c r="DGI228" s="12"/>
      <c r="DGJ228" s="12"/>
      <c r="DGK228" s="12"/>
      <c r="DGL228" s="12"/>
      <c r="DGM228" s="12"/>
      <c r="DGN228" s="12"/>
      <c r="DGO228" s="12"/>
      <c r="DGP228" s="12"/>
      <c r="DGQ228" s="12"/>
      <c r="DGR228" s="12"/>
      <c r="DGS228" s="12"/>
      <c r="DGT228" s="12"/>
      <c r="DGU228" s="12"/>
      <c r="DGV228" s="12"/>
      <c r="DGW228" s="12"/>
      <c r="DGX228" s="12"/>
      <c r="DGY228" s="12"/>
      <c r="DGZ228" s="12"/>
      <c r="DHA228" s="12"/>
      <c r="DHB228" s="12"/>
      <c r="DHC228" s="12"/>
      <c r="DHD228" s="12"/>
      <c r="DHE228" s="12"/>
      <c r="DHF228" s="12"/>
      <c r="DHG228" s="12"/>
      <c r="DHH228" s="12"/>
      <c r="DHI228" s="12"/>
      <c r="DHJ228" s="12"/>
      <c r="DHK228" s="12"/>
      <c r="DHL228" s="12"/>
      <c r="DHM228" s="12"/>
      <c r="DHN228" s="12"/>
      <c r="DHO228" s="12"/>
      <c r="DHP228" s="12"/>
      <c r="DHQ228" s="12"/>
      <c r="DHR228" s="12"/>
      <c r="DHS228" s="12"/>
      <c r="DHT228" s="12"/>
      <c r="DHU228" s="12"/>
      <c r="DHV228" s="12"/>
      <c r="DHW228" s="12"/>
      <c r="DHX228" s="12"/>
      <c r="DHY228" s="12"/>
      <c r="DHZ228" s="12"/>
      <c r="DIA228" s="12"/>
      <c r="DIB228" s="12"/>
      <c r="DIC228" s="12"/>
      <c r="DID228" s="12"/>
      <c r="DIE228" s="12"/>
      <c r="DIF228" s="12"/>
      <c r="DIG228" s="12"/>
      <c r="DIH228" s="12"/>
      <c r="DII228" s="12"/>
      <c r="DIJ228" s="12"/>
      <c r="DIK228" s="12"/>
      <c r="DIL228" s="12"/>
      <c r="DIM228" s="12"/>
      <c r="DIN228" s="12"/>
      <c r="DIO228" s="12"/>
      <c r="DIP228" s="12"/>
      <c r="DIQ228" s="12"/>
      <c r="DIR228" s="12"/>
      <c r="DIS228" s="12"/>
      <c r="DIT228" s="12"/>
      <c r="DIU228" s="12"/>
      <c r="DIV228" s="12"/>
      <c r="DIW228" s="12"/>
      <c r="DIX228" s="12"/>
      <c r="DIY228" s="12"/>
      <c r="DIZ228" s="12"/>
      <c r="DJA228" s="12"/>
      <c r="DJB228" s="12"/>
      <c r="DJC228" s="12"/>
      <c r="DJD228" s="12"/>
      <c r="DJE228" s="12"/>
      <c r="DJF228" s="12"/>
      <c r="DJG228" s="12"/>
      <c r="DJH228" s="12"/>
      <c r="DJI228" s="12"/>
      <c r="DJJ228" s="12"/>
      <c r="DJK228" s="12"/>
      <c r="DJL228" s="12"/>
      <c r="DJM228" s="12"/>
      <c r="DJN228" s="12"/>
      <c r="DJO228" s="12"/>
      <c r="DJP228" s="12"/>
      <c r="DJQ228" s="12"/>
      <c r="DJR228" s="12"/>
      <c r="DJS228" s="12"/>
      <c r="DJT228" s="12"/>
      <c r="DJU228" s="12"/>
      <c r="DJV228" s="12"/>
      <c r="DJW228" s="12"/>
      <c r="DJX228" s="12"/>
      <c r="DJY228" s="12"/>
      <c r="DJZ228" s="12"/>
      <c r="DKA228" s="12"/>
      <c r="DKB228" s="12"/>
      <c r="DKC228" s="12"/>
      <c r="DKD228" s="12"/>
      <c r="DKE228" s="12"/>
      <c r="DKF228" s="12"/>
      <c r="DKG228" s="12"/>
      <c r="DKH228" s="12"/>
      <c r="DKI228" s="12"/>
      <c r="DKJ228" s="12"/>
      <c r="DKK228" s="12"/>
      <c r="DKL228" s="12"/>
      <c r="DKM228" s="12"/>
      <c r="DKN228" s="12"/>
      <c r="DKO228" s="12"/>
      <c r="DKP228" s="12"/>
      <c r="DKQ228" s="12"/>
      <c r="DKR228" s="12"/>
      <c r="DKS228" s="12"/>
      <c r="DKT228" s="12"/>
      <c r="DKU228" s="12"/>
      <c r="DKV228" s="12"/>
      <c r="DKW228" s="12"/>
      <c r="DKX228" s="12"/>
      <c r="DKY228" s="12"/>
      <c r="DKZ228" s="12"/>
      <c r="DLA228" s="12"/>
      <c r="DLB228" s="12"/>
      <c r="DLC228" s="12"/>
      <c r="DLD228" s="12"/>
      <c r="DLE228" s="12"/>
      <c r="DLF228" s="12"/>
      <c r="DLG228" s="12"/>
      <c r="DLH228" s="12"/>
      <c r="DLI228" s="12"/>
      <c r="DLJ228" s="12"/>
      <c r="DLK228" s="12"/>
      <c r="DLL228" s="12"/>
      <c r="DLM228" s="12"/>
      <c r="DLN228" s="12"/>
      <c r="DLO228" s="12"/>
      <c r="DLP228" s="12"/>
      <c r="DLQ228" s="12"/>
      <c r="DLR228" s="12"/>
      <c r="DLS228" s="12"/>
      <c r="DLT228" s="12"/>
      <c r="DLU228" s="12"/>
      <c r="DLV228" s="12"/>
      <c r="DLW228" s="12"/>
      <c r="DLX228" s="12"/>
      <c r="DLY228" s="12"/>
      <c r="DLZ228" s="12"/>
      <c r="DMA228" s="12"/>
      <c r="DMB228" s="12"/>
      <c r="DMC228" s="12"/>
      <c r="DMD228" s="12"/>
      <c r="DME228" s="12"/>
      <c r="DMF228" s="12"/>
      <c r="DMG228" s="12"/>
      <c r="DMH228" s="12"/>
      <c r="DMI228" s="12"/>
      <c r="DMJ228" s="12"/>
      <c r="DMK228" s="12"/>
      <c r="DML228" s="12"/>
      <c r="DMM228" s="12"/>
      <c r="DMN228" s="12"/>
      <c r="DMO228" s="12"/>
      <c r="DMP228" s="12"/>
      <c r="DMQ228" s="12"/>
      <c r="DMR228" s="12"/>
      <c r="DMS228" s="12"/>
      <c r="DMT228" s="12"/>
      <c r="DMU228" s="12"/>
      <c r="DMV228" s="12"/>
      <c r="DMW228" s="12"/>
      <c r="DMX228" s="12"/>
      <c r="DMY228" s="12"/>
      <c r="DMZ228" s="12"/>
      <c r="DNA228" s="12"/>
      <c r="DNB228" s="12"/>
      <c r="DNC228" s="12"/>
      <c r="DND228" s="12"/>
      <c r="DNE228" s="12"/>
      <c r="DNF228" s="12"/>
      <c r="DNG228" s="12"/>
      <c r="DNH228" s="12"/>
      <c r="DNI228" s="12"/>
      <c r="DNJ228" s="12"/>
      <c r="DNK228" s="12"/>
      <c r="DNL228" s="12"/>
      <c r="DNM228" s="12"/>
      <c r="DNN228" s="12"/>
      <c r="DNO228" s="12"/>
      <c r="DNP228" s="12"/>
      <c r="DNQ228" s="12"/>
      <c r="DNR228" s="12"/>
      <c r="DNS228" s="12"/>
      <c r="DNT228" s="12"/>
      <c r="DNU228" s="12"/>
      <c r="DNV228" s="12"/>
      <c r="DNW228" s="12"/>
      <c r="DNX228" s="12"/>
      <c r="DNY228" s="12"/>
      <c r="DNZ228" s="12"/>
      <c r="DOA228" s="12"/>
      <c r="DOB228" s="12"/>
      <c r="DOC228" s="12"/>
      <c r="DOD228" s="12"/>
      <c r="DOE228" s="12"/>
      <c r="DOF228" s="12"/>
      <c r="DOG228" s="12"/>
      <c r="DOH228" s="12"/>
      <c r="DOI228" s="12"/>
      <c r="DOJ228" s="12"/>
      <c r="DOK228" s="12"/>
      <c r="DOL228" s="12"/>
      <c r="DOM228" s="12"/>
      <c r="DON228" s="12"/>
      <c r="DOO228" s="12"/>
      <c r="DOP228" s="12"/>
      <c r="DOQ228" s="12"/>
      <c r="DOR228" s="12"/>
      <c r="DOS228" s="12"/>
      <c r="DOT228" s="12"/>
      <c r="DOU228" s="12"/>
      <c r="DOV228" s="12"/>
      <c r="DOW228" s="12"/>
      <c r="DOX228" s="12"/>
      <c r="DOY228" s="12"/>
      <c r="DOZ228" s="12"/>
      <c r="DPA228" s="12"/>
      <c r="DPB228" s="12"/>
      <c r="DPC228" s="12"/>
      <c r="DPD228" s="12"/>
      <c r="DPE228" s="12"/>
      <c r="DPF228" s="12"/>
      <c r="DPG228" s="12"/>
      <c r="DPH228" s="12"/>
      <c r="DPI228" s="12"/>
      <c r="DPJ228" s="12"/>
      <c r="DPK228" s="12"/>
      <c r="DPL228" s="12"/>
      <c r="DPM228" s="12"/>
      <c r="DPN228" s="12"/>
      <c r="DPO228" s="12"/>
      <c r="DPP228" s="12"/>
      <c r="DPQ228" s="12"/>
      <c r="DPR228" s="12"/>
      <c r="DPS228" s="12"/>
      <c r="DPT228" s="12"/>
      <c r="DPU228" s="12"/>
      <c r="DPV228" s="12"/>
      <c r="DPW228" s="12"/>
      <c r="DPX228" s="12"/>
      <c r="DPY228" s="12"/>
      <c r="DPZ228" s="12"/>
      <c r="DQA228" s="12"/>
      <c r="DQB228" s="12"/>
      <c r="DQC228" s="12"/>
      <c r="DQD228" s="12"/>
      <c r="DQE228" s="12"/>
      <c r="DQF228" s="12"/>
      <c r="DQG228" s="12"/>
      <c r="DQH228" s="12"/>
      <c r="DQI228" s="12"/>
      <c r="DQJ228" s="12"/>
      <c r="DQK228" s="12"/>
      <c r="DQL228" s="12"/>
      <c r="DQM228" s="12"/>
      <c r="DQN228" s="12"/>
      <c r="DQO228" s="12"/>
      <c r="DQP228" s="12"/>
      <c r="DQQ228" s="12"/>
      <c r="DQR228" s="12"/>
      <c r="DQS228" s="12"/>
      <c r="DQT228" s="12"/>
      <c r="DQU228" s="12"/>
      <c r="DQV228" s="12"/>
      <c r="DQW228" s="12"/>
      <c r="DQX228" s="12"/>
      <c r="DQY228" s="12"/>
      <c r="DQZ228" s="12"/>
      <c r="DRA228" s="12"/>
      <c r="DRB228" s="12"/>
      <c r="DRC228" s="12"/>
      <c r="DRD228" s="12"/>
      <c r="DRE228" s="12"/>
      <c r="DRF228" s="12"/>
      <c r="DRG228" s="12"/>
      <c r="DRH228" s="12"/>
      <c r="DRI228" s="12"/>
      <c r="DRJ228" s="12"/>
      <c r="DRK228" s="12"/>
      <c r="DRL228" s="12"/>
      <c r="DRM228" s="12"/>
      <c r="DRN228" s="12"/>
      <c r="DRO228" s="12"/>
      <c r="DRP228" s="12"/>
      <c r="DRQ228" s="12"/>
      <c r="DRR228" s="12"/>
      <c r="DRS228" s="12"/>
      <c r="DRT228" s="12"/>
      <c r="DRU228" s="12"/>
      <c r="DRV228" s="12"/>
      <c r="DRW228" s="12"/>
      <c r="DRX228" s="12"/>
      <c r="DRY228" s="12"/>
      <c r="DRZ228" s="12"/>
      <c r="DSA228" s="12"/>
      <c r="DSB228" s="12"/>
      <c r="DSC228" s="12"/>
      <c r="DSD228" s="12"/>
      <c r="DSE228" s="12"/>
      <c r="DSF228" s="12"/>
      <c r="DSG228" s="12"/>
      <c r="DSH228" s="12"/>
      <c r="DSI228" s="12"/>
      <c r="DSJ228" s="12"/>
      <c r="DSK228" s="12"/>
      <c r="DSL228" s="12"/>
      <c r="DSM228" s="12"/>
      <c r="DSN228" s="12"/>
      <c r="DSO228" s="12"/>
      <c r="DSP228" s="12"/>
      <c r="DSQ228" s="12"/>
      <c r="DSR228" s="12"/>
      <c r="DSS228" s="12"/>
      <c r="DST228" s="12"/>
      <c r="DSU228" s="12"/>
      <c r="DSV228" s="12"/>
      <c r="DSW228" s="12"/>
      <c r="DSX228" s="12"/>
      <c r="DSY228" s="12"/>
      <c r="DSZ228" s="12"/>
      <c r="DTA228" s="12"/>
      <c r="DTB228" s="12"/>
      <c r="DTC228" s="12"/>
      <c r="DTD228" s="12"/>
      <c r="DTE228" s="12"/>
      <c r="DTF228" s="12"/>
      <c r="DTG228" s="12"/>
      <c r="DTH228" s="12"/>
      <c r="DTI228" s="12"/>
      <c r="DTJ228" s="12"/>
      <c r="DTK228" s="12"/>
      <c r="DTL228" s="12"/>
      <c r="DTM228" s="12"/>
      <c r="DTN228" s="12"/>
      <c r="DTO228" s="12"/>
      <c r="DTP228" s="12"/>
      <c r="DTQ228" s="12"/>
      <c r="DTR228" s="12"/>
      <c r="DTS228" s="12"/>
      <c r="DTT228" s="12"/>
      <c r="DTU228" s="12"/>
      <c r="DTV228" s="12"/>
      <c r="DTW228" s="12"/>
      <c r="DTX228" s="12"/>
      <c r="DTY228" s="12"/>
      <c r="DTZ228" s="12"/>
      <c r="DUA228" s="12"/>
      <c r="DUB228" s="12"/>
      <c r="DUC228" s="12"/>
      <c r="DUD228" s="12"/>
      <c r="DUE228" s="12"/>
      <c r="DUF228" s="12"/>
      <c r="DUG228" s="12"/>
      <c r="DUH228" s="12"/>
      <c r="DUI228" s="12"/>
      <c r="DUJ228" s="12"/>
      <c r="DUK228" s="12"/>
      <c r="DUL228" s="12"/>
      <c r="DUM228" s="12"/>
      <c r="DUN228" s="12"/>
      <c r="DUO228" s="12"/>
      <c r="DUP228" s="12"/>
      <c r="DUQ228" s="12"/>
      <c r="DUR228" s="12"/>
      <c r="DUS228" s="12"/>
      <c r="DUT228" s="12"/>
      <c r="DUU228" s="12"/>
      <c r="DUV228" s="12"/>
      <c r="DUW228" s="12"/>
      <c r="DUX228" s="12"/>
      <c r="DUY228" s="12"/>
      <c r="DUZ228" s="12"/>
      <c r="DVA228" s="12"/>
      <c r="DVB228" s="12"/>
      <c r="DVC228" s="12"/>
      <c r="DVD228" s="12"/>
      <c r="DVE228" s="12"/>
      <c r="DVF228" s="12"/>
      <c r="DVG228" s="12"/>
      <c r="DVH228" s="12"/>
      <c r="DVI228" s="12"/>
      <c r="DVJ228" s="12"/>
      <c r="DVK228" s="12"/>
      <c r="DVL228" s="12"/>
      <c r="DVM228" s="12"/>
      <c r="DVN228" s="12"/>
      <c r="DVO228" s="12"/>
      <c r="DVP228" s="12"/>
      <c r="DVQ228" s="12"/>
      <c r="DVR228" s="12"/>
      <c r="DVS228" s="12"/>
      <c r="DVT228" s="12"/>
      <c r="DVU228" s="12"/>
      <c r="DVV228" s="12"/>
      <c r="DVW228" s="12"/>
      <c r="DVX228" s="12"/>
      <c r="DVY228" s="12"/>
      <c r="DVZ228" s="12"/>
      <c r="DWA228" s="12"/>
      <c r="DWB228" s="12"/>
      <c r="DWC228" s="12"/>
      <c r="DWD228" s="12"/>
      <c r="DWE228" s="12"/>
      <c r="DWF228" s="12"/>
      <c r="DWG228" s="12"/>
      <c r="DWH228" s="12"/>
      <c r="DWI228" s="12"/>
      <c r="DWJ228" s="12"/>
      <c r="DWK228" s="12"/>
      <c r="DWL228" s="12"/>
      <c r="DWM228" s="12"/>
      <c r="DWN228" s="12"/>
      <c r="DWO228" s="12"/>
      <c r="DWP228" s="12"/>
      <c r="DWQ228" s="12"/>
      <c r="DWR228" s="12"/>
      <c r="DWS228" s="12"/>
      <c r="DWT228" s="12"/>
      <c r="DWU228" s="12"/>
      <c r="DWV228" s="12"/>
      <c r="DWW228" s="12"/>
      <c r="DWX228" s="12"/>
      <c r="DWY228" s="12"/>
      <c r="DWZ228" s="12"/>
      <c r="DXA228" s="12"/>
      <c r="DXB228" s="12"/>
      <c r="DXC228" s="12"/>
      <c r="DXD228" s="12"/>
      <c r="DXE228" s="12"/>
      <c r="DXF228" s="12"/>
      <c r="DXG228" s="12"/>
      <c r="DXH228" s="12"/>
      <c r="DXI228" s="12"/>
      <c r="DXJ228" s="12"/>
      <c r="DXK228" s="12"/>
      <c r="DXL228" s="12"/>
      <c r="DXM228" s="12"/>
      <c r="DXN228" s="12"/>
      <c r="DXO228" s="12"/>
      <c r="DXP228" s="12"/>
      <c r="DXQ228" s="12"/>
      <c r="DXR228" s="12"/>
      <c r="DXS228" s="12"/>
      <c r="DXT228" s="12"/>
      <c r="DXU228" s="12"/>
      <c r="DXV228" s="12"/>
      <c r="DXW228" s="12"/>
      <c r="DXX228" s="12"/>
      <c r="DXY228" s="12"/>
      <c r="DXZ228" s="12"/>
      <c r="DYA228" s="12"/>
      <c r="DYB228" s="12"/>
      <c r="DYC228" s="12"/>
      <c r="DYD228" s="12"/>
      <c r="DYE228" s="12"/>
      <c r="DYF228" s="12"/>
      <c r="DYG228" s="12"/>
      <c r="DYH228" s="12"/>
      <c r="DYI228" s="12"/>
      <c r="DYJ228" s="12"/>
      <c r="DYK228" s="12"/>
      <c r="DYL228" s="12"/>
      <c r="DYM228" s="12"/>
      <c r="DYN228" s="12"/>
      <c r="DYO228" s="12"/>
      <c r="DYP228" s="12"/>
      <c r="DYQ228" s="12"/>
      <c r="DYR228" s="12"/>
      <c r="DYS228" s="12"/>
      <c r="DYT228" s="12"/>
      <c r="DYU228" s="12"/>
      <c r="DYV228" s="12"/>
      <c r="DYW228" s="12"/>
      <c r="DYX228" s="12"/>
      <c r="DYY228" s="12"/>
      <c r="DYZ228" s="12"/>
      <c r="DZA228" s="12"/>
      <c r="DZB228" s="12"/>
      <c r="DZC228" s="12"/>
      <c r="DZD228" s="12"/>
      <c r="DZE228" s="12"/>
      <c r="DZF228" s="12"/>
      <c r="DZG228" s="12"/>
      <c r="DZH228" s="12"/>
      <c r="DZI228" s="12"/>
      <c r="DZJ228" s="12"/>
      <c r="DZK228" s="12"/>
      <c r="DZL228" s="12"/>
      <c r="DZM228" s="12"/>
      <c r="DZN228" s="12"/>
      <c r="DZO228" s="12"/>
      <c r="DZP228" s="12"/>
      <c r="DZQ228" s="12"/>
      <c r="DZR228" s="12"/>
      <c r="DZS228" s="12"/>
      <c r="DZT228" s="12"/>
      <c r="DZU228" s="12"/>
      <c r="DZV228" s="12"/>
      <c r="DZW228" s="12"/>
      <c r="DZX228" s="12"/>
      <c r="DZY228" s="12"/>
      <c r="DZZ228" s="12"/>
      <c r="EAA228" s="12"/>
      <c r="EAB228" s="12"/>
      <c r="EAC228" s="12"/>
      <c r="EAD228" s="12"/>
      <c r="EAE228" s="12"/>
      <c r="EAF228" s="12"/>
      <c r="EAG228" s="12"/>
      <c r="EAH228" s="12"/>
      <c r="EAI228" s="12"/>
      <c r="EAJ228" s="12"/>
      <c r="EAK228" s="12"/>
      <c r="EAL228" s="12"/>
      <c r="EAM228" s="12"/>
      <c r="EAN228" s="12"/>
      <c r="EAO228" s="12"/>
      <c r="EAP228" s="12"/>
      <c r="EAQ228" s="12"/>
      <c r="EAR228" s="12"/>
      <c r="EAS228" s="12"/>
      <c r="EAT228" s="12"/>
      <c r="EAU228" s="12"/>
      <c r="EAV228" s="12"/>
      <c r="EAW228" s="12"/>
      <c r="EAX228" s="12"/>
      <c r="EAY228" s="12"/>
      <c r="EAZ228" s="12"/>
      <c r="EBA228" s="12"/>
      <c r="EBB228" s="12"/>
      <c r="EBC228" s="12"/>
      <c r="EBD228" s="12"/>
      <c r="EBE228" s="12"/>
      <c r="EBF228" s="12"/>
      <c r="EBG228" s="12"/>
      <c r="EBH228" s="12"/>
      <c r="EBI228" s="12"/>
      <c r="EBJ228" s="12"/>
      <c r="EBK228" s="12"/>
      <c r="EBL228" s="12"/>
      <c r="EBM228" s="12"/>
      <c r="EBN228" s="12"/>
      <c r="EBO228" s="12"/>
      <c r="EBP228" s="12"/>
      <c r="EBQ228" s="12"/>
      <c r="EBR228" s="12"/>
      <c r="EBS228" s="12"/>
      <c r="EBT228" s="12"/>
      <c r="EBU228" s="12"/>
      <c r="EBV228" s="12"/>
      <c r="EBW228" s="12"/>
      <c r="EBX228" s="12"/>
      <c r="EBY228" s="12"/>
      <c r="EBZ228" s="12"/>
      <c r="ECA228" s="12"/>
      <c r="ECB228" s="12"/>
      <c r="ECC228" s="12"/>
      <c r="ECD228" s="12"/>
      <c r="ECE228" s="12"/>
      <c r="ECF228" s="12"/>
      <c r="ECG228" s="12"/>
      <c r="ECH228" s="12"/>
      <c r="ECI228" s="12"/>
      <c r="ECJ228" s="12"/>
      <c r="ECK228" s="12"/>
      <c r="ECL228" s="12"/>
      <c r="ECM228" s="12"/>
      <c r="ECN228" s="12"/>
      <c r="ECO228" s="12"/>
      <c r="ECP228" s="12"/>
      <c r="ECQ228" s="12"/>
      <c r="ECR228" s="12"/>
      <c r="ECS228" s="12"/>
      <c r="ECT228" s="12"/>
      <c r="ECU228" s="12"/>
      <c r="ECV228" s="12"/>
      <c r="ECW228" s="12"/>
      <c r="ECX228" s="12"/>
      <c r="ECY228" s="12"/>
      <c r="ECZ228" s="12"/>
      <c r="EDA228" s="12"/>
      <c r="EDB228" s="12"/>
      <c r="EDC228" s="12"/>
      <c r="EDD228" s="12"/>
      <c r="EDE228" s="12"/>
      <c r="EDF228" s="12"/>
      <c r="EDG228" s="12"/>
      <c r="EDH228" s="12"/>
      <c r="EDI228" s="12"/>
      <c r="EDJ228" s="12"/>
      <c r="EDK228" s="12"/>
      <c r="EDL228" s="12"/>
      <c r="EDM228" s="12"/>
      <c r="EDN228" s="12"/>
      <c r="EDO228" s="12"/>
      <c r="EDP228" s="12"/>
      <c r="EDQ228" s="12"/>
      <c r="EDR228" s="12"/>
      <c r="EDS228" s="12"/>
      <c r="EDT228" s="12"/>
      <c r="EDU228" s="12"/>
      <c r="EDV228" s="12"/>
      <c r="EDW228" s="12"/>
      <c r="EDX228" s="12"/>
      <c r="EDY228" s="12"/>
      <c r="EDZ228" s="12"/>
      <c r="EEA228" s="12"/>
      <c r="EEB228" s="12"/>
      <c r="EEC228" s="12"/>
      <c r="EED228" s="12"/>
      <c r="EEE228" s="12"/>
      <c r="EEF228" s="12"/>
      <c r="EEG228" s="12"/>
      <c r="EEH228" s="12"/>
      <c r="EEI228" s="12"/>
      <c r="EEJ228" s="12"/>
      <c r="EEK228" s="12"/>
      <c r="EEL228" s="12"/>
      <c r="EEM228" s="12"/>
      <c r="EEN228" s="12"/>
      <c r="EEO228" s="12"/>
      <c r="EEP228" s="12"/>
      <c r="EEQ228" s="12"/>
      <c r="EER228" s="12"/>
      <c r="EES228" s="12"/>
      <c r="EET228" s="12"/>
      <c r="EEU228" s="12"/>
      <c r="EEV228" s="12"/>
      <c r="EEW228" s="12"/>
      <c r="EEX228" s="12"/>
      <c r="EEY228" s="12"/>
      <c r="EEZ228" s="12"/>
      <c r="EFA228" s="12"/>
      <c r="EFB228" s="12"/>
      <c r="EFC228" s="12"/>
      <c r="EFD228" s="12"/>
      <c r="EFE228" s="12"/>
      <c r="EFF228" s="12"/>
      <c r="EFG228" s="12"/>
      <c r="EFH228" s="12"/>
      <c r="EFI228" s="12"/>
      <c r="EFJ228" s="12"/>
      <c r="EFK228" s="12"/>
      <c r="EFL228" s="12"/>
      <c r="EFM228" s="12"/>
      <c r="EFN228" s="12"/>
      <c r="EFO228" s="12"/>
      <c r="EFP228" s="12"/>
      <c r="EFQ228" s="12"/>
      <c r="EFR228" s="12"/>
      <c r="EFS228" s="12"/>
      <c r="EFT228" s="12"/>
      <c r="EFU228" s="12"/>
      <c r="EFV228" s="12"/>
      <c r="EFW228" s="12"/>
      <c r="EFX228" s="12"/>
      <c r="EFY228" s="12"/>
      <c r="EFZ228" s="12"/>
      <c r="EGA228" s="12"/>
      <c r="EGB228" s="12"/>
      <c r="EGC228" s="12"/>
      <c r="EGD228" s="12"/>
      <c r="EGE228" s="12"/>
      <c r="EGF228" s="12"/>
      <c r="EGG228" s="12"/>
      <c r="EGH228" s="12"/>
      <c r="EGI228" s="12"/>
      <c r="EGJ228" s="12"/>
      <c r="EGK228" s="12"/>
      <c r="EGL228" s="12"/>
      <c r="EGM228" s="12"/>
      <c r="EGN228" s="12"/>
      <c r="EGO228" s="12"/>
      <c r="EGP228" s="12"/>
      <c r="EGQ228" s="12"/>
      <c r="EGR228" s="12"/>
      <c r="EGS228" s="12"/>
      <c r="EGT228" s="12"/>
      <c r="EGU228" s="12"/>
      <c r="EGV228" s="12"/>
      <c r="EGW228" s="12"/>
      <c r="EGX228" s="12"/>
      <c r="EGY228" s="12"/>
      <c r="EGZ228" s="12"/>
      <c r="EHA228" s="12"/>
      <c r="EHB228" s="12"/>
      <c r="EHC228" s="12"/>
      <c r="EHD228" s="12"/>
      <c r="EHE228" s="12"/>
      <c r="EHF228" s="12"/>
      <c r="EHG228" s="12"/>
      <c r="EHH228" s="12"/>
      <c r="EHI228" s="12"/>
      <c r="EHJ228" s="12"/>
      <c r="EHK228" s="12"/>
      <c r="EHL228" s="12"/>
      <c r="EHM228" s="12"/>
      <c r="EHN228" s="12"/>
      <c r="EHO228" s="12"/>
      <c r="EHP228" s="12"/>
      <c r="EHQ228" s="12"/>
      <c r="EHR228" s="12"/>
      <c r="EHS228" s="12"/>
      <c r="EHT228" s="12"/>
      <c r="EHU228" s="12"/>
      <c r="EHV228" s="12"/>
      <c r="EHW228" s="12"/>
      <c r="EHX228" s="12"/>
      <c r="EHY228" s="12"/>
      <c r="EHZ228" s="12"/>
      <c r="EIA228" s="12"/>
      <c r="EIB228" s="12"/>
      <c r="EIC228" s="12"/>
      <c r="EID228" s="12"/>
      <c r="EIE228" s="12"/>
      <c r="EIF228" s="12"/>
      <c r="EIG228" s="12"/>
      <c r="EIH228" s="12"/>
      <c r="EII228" s="12"/>
      <c r="EIJ228" s="12"/>
      <c r="EIK228" s="12"/>
      <c r="EIL228" s="12"/>
      <c r="EIM228" s="12"/>
      <c r="EIN228" s="12"/>
      <c r="EIO228" s="12"/>
      <c r="EIP228" s="12"/>
      <c r="EIQ228" s="12"/>
      <c r="EIR228" s="12"/>
      <c r="EIS228" s="12"/>
      <c r="EIT228" s="12"/>
      <c r="EIU228" s="12"/>
      <c r="EIV228" s="12"/>
      <c r="EIW228" s="12"/>
      <c r="EIX228" s="12"/>
      <c r="EIY228" s="12"/>
      <c r="EIZ228" s="12"/>
      <c r="EJA228" s="12"/>
      <c r="EJB228" s="12"/>
      <c r="EJC228" s="12"/>
      <c r="EJD228" s="12"/>
      <c r="EJE228" s="12"/>
      <c r="EJF228" s="12"/>
      <c r="EJG228" s="12"/>
      <c r="EJH228" s="12"/>
      <c r="EJI228" s="12"/>
      <c r="EJJ228" s="12"/>
      <c r="EJK228" s="12"/>
      <c r="EJL228" s="12"/>
      <c r="EJM228" s="12"/>
      <c r="EJN228" s="12"/>
      <c r="EJO228" s="12"/>
      <c r="EJP228" s="12"/>
      <c r="EJQ228" s="12"/>
      <c r="EJR228" s="12"/>
      <c r="EJS228" s="12"/>
      <c r="EJT228" s="12"/>
      <c r="EJU228" s="12"/>
      <c r="EJV228" s="12"/>
      <c r="EJW228" s="12"/>
      <c r="EJX228" s="12"/>
      <c r="EJY228" s="12"/>
      <c r="EJZ228" s="12"/>
      <c r="EKA228" s="12"/>
      <c r="EKB228" s="12"/>
      <c r="EKC228" s="12"/>
      <c r="EKD228" s="12"/>
      <c r="EKE228" s="12"/>
      <c r="EKF228" s="12"/>
      <c r="EKG228" s="12"/>
      <c r="EKH228" s="12"/>
      <c r="EKI228" s="12"/>
      <c r="EKJ228" s="12"/>
      <c r="EKK228" s="12"/>
      <c r="EKL228" s="12"/>
      <c r="EKM228" s="12"/>
      <c r="EKN228" s="12"/>
      <c r="EKO228" s="12"/>
      <c r="EKP228" s="12"/>
      <c r="EKQ228" s="12"/>
      <c r="EKR228" s="12"/>
      <c r="EKS228" s="12"/>
      <c r="EKT228" s="12"/>
      <c r="EKU228" s="12"/>
      <c r="EKV228" s="12"/>
      <c r="EKW228" s="12"/>
      <c r="EKX228" s="12"/>
      <c r="EKY228" s="12"/>
      <c r="EKZ228" s="12"/>
      <c r="ELA228" s="12"/>
      <c r="ELB228" s="12"/>
      <c r="ELC228" s="12"/>
      <c r="ELD228" s="12"/>
      <c r="ELE228" s="12"/>
      <c r="ELF228" s="12"/>
      <c r="ELG228" s="12"/>
      <c r="ELH228" s="12"/>
      <c r="ELI228" s="12"/>
      <c r="ELJ228" s="12"/>
      <c r="ELK228" s="12"/>
      <c r="ELL228" s="12"/>
      <c r="ELM228" s="12"/>
      <c r="ELN228" s="12"/>
      <c r="ELO228" s="12"/>
      <c r="ELP228" s="12"/>
      <c r="ELQ228" s="12"/>
      <c r="ELR228" s="12"/>
      <c r="ELS228" s="12"/>
      <c r="ELT228" s="12"/>
      <c r="ELU228" s="12"/>
      <c r="ELV228" s="12"/>
      <c r="ELW228" s="12"/>
      <c r="ELX228" s="12"/>
      <c r="ELY228" s="12"/>
      <c r="ELZ228" s="12"/>
      <c r="EMA228" s="12"/>
      <c r="EMB228" s="12"/>
      <c r="EMC228" s="12"/>
      <c r="EMD228" s="12"/>
      <c r="EME228" s="12"/>
      <c r="EMF228" s="12"/>
      <c r="EMG228" s="12"/>
      <c r="EMH228" s="12"/>
      <c r="EMI228" s="12"/>
      <c r="EMJ228" s="12"/>
      <c r="EMK228" s="12"/>
      <c r="EML228" s="12"/>
      <c r="EMM228" s="12"/>
      <c r="EMN228" s="12"/>
      <c r="EMO228" s="12"/>
      <c r="EMP228" s="12"/>
      <c r="EMQ228" s="12"/>
      <c r="EMR228" s="12"/>
      <c r="EMS228" s="12"/>
      <c r="EMT228" s="12"/>
      <c r="EMU228" s="12"/>
      <c r="EMV228" s="12"/>
      <c r="EMW228" s="12"/>
      <c r="EMX228" s="12"/>
      <c r="EMY228" s="12"/>
      <c r="EMZ228" s="12"/>
      <c r="ENA228" s="12"/>
      <c r="ENB228" s="12"/>
      <c r="ENC228" s="12"/>
      <c r="END228" s="12"/>
      <c r="ENE228" s="12"/>
      <c r="ENF228" s="12"/>
      <c r="ENG228" s="12"/>
      <c r="ENH228" s="12"/>
      <c r="ENI228" s="12"/>
      <c r="ENJ228" s="12"/>
      <c r="ENK228" s="12"/>
      <c r="ENL228" s="12"/>
      <c r="ENM228" s="12"/>
      <c r="ENN228" s="12"/>
      <c r="ENO228" s="12"/>
      <c r="ENP228" s="12"/>
      <c r="ENQ228" s="12"/>
      <c r="ENR228" s="12"/>
      <c r="ENS228" s="12"/>
      <c r="ENT228" s="12"/>
      <c r="ENU228" s="12"/>
      <c r="ENV228" s="12"/>
      <c r="ENW228" s="12"/>
      <c r="ENX228" s="12"/>
      <c r="ENY228" s="12"/>
      <c r="ENZ228" s="12"/>
      <c r="EOA228" s="12"/>
      <c r="EOB228" s="12"/>
      <c r="EOC228" s="12"/>
      <c r="EOD228" s="12"/>
      <c r="EOE228" s="12"/>
      <c r="EOF228" s="12"/>
      <c r="EOG228" s="12"/>
      <c r="EOH228" s="12"/>
      <c r="EOI228" s="12"/>
      <c r="EOJ228" s="12"/>
      <c r="EOK228" s="12"/>
      <c r="EOL228" s="12"/>
      <c r="EOM228" s="12"/>
      <c r="EON228" s="12"/>
      <c r="EOO228" s="12"/>
      <c r="EOP228" s="12"/>
      <c r="EOQ228" s="12"/>
      <c r="EOR228" s="12"/>
      <c r="EOS228" s="12"/>
      <c r="EOT228" s="12"/>
      <c r="EOU228" s="12"/>
      <c r="EOV228" s="12"/>
      <c r="EOW228" s="12"/>
      <c r="EOX228" s="12"/>
      <c r="EOY228" s="12"/>
      <c r="EOZ228" s="12"/>
      <c r="EPA228" s="12"/>
      <c r="EPB228" s="12"/>
      <c r="EPC228" s="12"/>
      <c r="EPD228" s="12"/>
      <c r="EPE228" s="12"/>
      <c r="EPF228" s="12"/>
      <c r="EPG228" s="12"/>
      <c r="EPH228" s="12"/>
      <c r="EPI228" s="12"/>
      <c r="EPJ228" s="12"/>
      <c r="EPK228" s="12"/>
      <c r="EPL228" s="12"/>
      <c r="EPM228" s="12"/>
      <c r="EPN228" s="12"/>
      <c r="EPO228" s="12"/>
      <c r="EPP228" s="12"/>
      <c r="EPQ228" s="12"/>
      <c r="EPR228" s="12"/>
      <c r="EPS228" s="12"/>
      <c r="EPT228" s="12"/>
      <c r="EPU228" s="12"/>
      <c r="EPV228" s="12"/>
      <c r="EPW228" s="12"/>
      <c r="EPX228" s="12"/>
      <c r="EPY228" s="12"/>
      <c r="EPZ228" s="12"/>
      <c r="EQA228" s="12"/>
      <c r="EQB228" s="12"/>
      <c r="EQC228" s="12"/>
      <c r="EQD228" s="12"/>
      <c r="EQE228" s="12"/>
      <c r="EQF228" s="12"/>
      <c r="EQG228" s="12"/>
      <c r="EQH228" s="12"/>
      <c r="EQI228" s="12"/>
      <c r="EQJ228" s="12"/>
      <c r="EQK228" s="12"/>
      <c r="EQL228" s="12"/>
      <c r="EQM228" s="12"/>
      <c r="EQN228" s="12"/>
      <c r="EQO228" s="12"/>
      <c r="EQP228" s="12"/>
      <c r="EQQ228" s="12"/>
      <c r="EQR228" s="12"/>
      <c r="EQS228" s="12"/>
      <c r="EQT228" s="12"/>
      <c r="EQU228" s="12"/>
      <c r="EQV228" s="12"/>
      <c r="EQW228" s="12"/>
      <c r="EQX228" s="12"/>
      <c r="EQY228" s="12"/>
      <c r="EQZ228" s="12"/>
      <c r="ERA228" s="12"/>
      <c r="ERB228" s="12"/>
      <c r="ERC228" s="12"/>
      <c r="ERD228" s="12"/>
      <c r="ERE228" s="12"/>
      <c r="ERF228" s="12"/>
      <c r="ERG228" s="12"/>
      <c r="ERH228" s="12"/>
      <c r="ERI228" s="12"/>
      <c r="ERJ228" s="12"/>
      <c r="ERK228" s="12"/>
      <c r="ERL228" s="12"/>
      <c r="ERM228" s="12"/>
      <c r="ERN228" s="12"/>
      <c r="ERO228" s="12"/>
      <c r="ERP228" s="12"/>
      <c r="ERQ228" s="12"/>
      <c r="ERR228" s="12"/>
      <c r="ERS228" s="12"/>
      <c r="ERT228" s="12"/>
      <c r="ERU228" s="12"/>
      <c r="ERV228" s="12"/>
      <c r="ERW228" s="12"/>
      <c r="ERX228" s="12"/>
      <c r="ERY228" s="12"/>
      <c r="ERZ228" s="12"/>
      <c r="ESA228" s="12"/>
      <c r="ESB228" s="12"/>
      <c r="ESC228" s="12"/>
      <c r="ESD228" s="12"/>
      <c r="ESE228" s="12"/>
      <c r="ESF228" s="12"/>
      <c r="ESG228" s="12"/>
      <c r="ESH228" s="12"/>
      <c r="ESI228" s="12"/>
      <c r="ESJ228" s="12"/>
      <c r="ESK228" s="12"/>
      <c r="ESL228" s="12"/>
      <c r="ESM228" s="12"/>
      <c r="ESN228" s="12"/>
      <c r="ESO228" s="12"/>
      <c r="ESP228" s="12"/>
      <c r="ESQ228" s="12"/>
      <c r="ESR228" s="12"/>
      <c r="ESS228" s="12"/>
      <c r="EST228" s="12"/>
      <c r="ESU228" s="12"/>
      <c r="ESV228" s="12"/>
      <c r="ESW228" s="12"/>
      <c r="ESX228" s="12"/>
      <c r="ESY228" s="12"/>
      <c r="ESZ228" s="12"/>
      <c r="ETA228" s="12"/>
      <c r="ETB228" s="12"/>
      <c r="ETC228" s="12"/>
      <c r="ETD228" s="12"/>
      <c r="ETE228" s="12"/>
      <c r="ETF228" s="12"/>
      <c r="ETG228" s="12"/>
      <c r="ETH228" s="12"/>
      <c r="ETI228" s="12"/>
      <c r="ETJ228" s="12"/>
      <c r="ETK228" s="12"/>
      <c r="ETL228" s="12"/>
      <c r="ETM228" s="12"/>
      <c r="ETN228" s="12"/>
      <c r="ETO228" s="12"/>
      <c r="ETP228" s="12"/>
      <c r="ETQ228" s="12"/>
      <c r="ETR228" s="12"/>
      <c r="ETS228" s="12"/>
      <c r="ETT228" s="12"/>
      <c r="ETU228" s="12"/>
      <c r="ETV228" s="12"/>
      <c r="ETW228" s="12"/>
      <c r="ETX228" s="12"/>
      <c r="ETY228" s="12"/>
      <c r="ETZ228" s="12"/>
      <c r="EUA228" s="12"/>
      <c r="EUB228" s="12"/>
      <c r="EUC228" s="12"/>
      <c r="EUD228" s="12"/>
      <c r="EUE228" s="12"/>
      <c r="EUF228" s="12"/>
      <c r="EUG228" s="12"/>
      <c r="EUH228" s="12"/>
      <c r="EUI228" s="12"/>
      <c r="EUJ228" s="12"/>
      <c r="EUK228" s="12"/>
      <c r="EUL228" s="12"/>
      <c r="EUM228" s="12"/>
      <c r="EUN228" s="12"/>
      <c r="EUO228" s="12"/>
      <c r="EUP228" s="12"/>
      <c r="EUQ228" s="12"/>
      <c r="EUR228" s="12"/>
      <c r="EUS228" s="12"/>
      <c r="EUT228" s="12"/>
      <c r="EUU228" s="12"/>
      <c r="EUV228" s="12"/>
      <c r="EUW228" s="12"/>
      <c r="EUX228" s="12"/>
      <c r="EUY228" s="12"/>
      <c r="EUZ228" s="12"/>
      <c r="EVA228" s="12"/>
      <c r="EVB228" s="12"/>
      <c r="EVC228" s="12"/>
      <c r="EVD228" s="12"/>
      <c r="EVE228" s="12"/>
      <c r="EVF228" s="12"/>
      <c r="EVG228" s="12"/>
      <c r="EVH228" s="12"/>
      <c r="EVI228" s="12"/>
      <c r="EVJ228" s="12"/>
      <c r="EVK228" s="12"/>
      <c r="EVL228" s="12"/>
      <c r="EVM228" s="12"/>
      <c r="EVN228" s="12"/>
      <c r="EVO228" s="12"/>
      <c r="EVP228" s="12"/>
      <c r="EVQ228" s="12"/>
      <c r="EVR228" s="12"/>
      <c r="EVS228" s="12"/>
      <c r="EVT228" s="12"/>
      <c r="EVU228" s="12"/>
      <c r="EVV228" s="12"/>
      <c r="EVW228" s="12"/>
      <c r="EVX228" s="12"/>
      <c r="EVY228" s="12"/>
      <c r="EVZ228" s="12"/>
      <c r="EWA228" s="12"/>
      <c r="EWB228" s="12"/>
      <c r="EWC228" s="12"/>
      <c r="EWD228" s="12"/>
      <c r="EWE228" s="12"/>
      <c r="EWF228" s="12"/>
      <c r="EWG228" s="12"/>
      <c r="EWH228" s="12"/>
      <c r="EWI228" s="12"/>
      <c r="EWJ228" s="12"/>
      <c r="EWK228" s="12"/>
      <c r="EWL228" s="12"/>
      <c r="EWM228" s="12"/>
      <c r="EWN228" s="12"/>
      <c r="EWO228" s="12"/>
      <c r="EWP228" s="12"/>
      <c r="EWQ228" s="12"/>
      <c r="EWR228" s="12"/>
      <c r="EWS228" s="12"/>
      <c r="EWT228" s="12"/>
      <c r="EWU228" s="12"/>
      <c r="EWV228" s="12"/>
      <c r="EWW228" s="12"/>
      <c r="EWX228" s="12"/>
      <c r="EWY228" s="12"/>
      <c r="EWZ228" s="12"/>
      <c r="EXA228" s="12"/>
      <c r="EXB228" s="12"/>
      <c r="EXC228" s="12"/>
      <c r="EXD228" s="12"/>
      <c r="EXE228" s="12"/>
      <c r="EXF228" s="12"/>
      <c r="EXG228" s="12"/>
      <c r="EXH228" s="12"/>
      <c r="EXI228" s="12"/>
      <c r="EXJ228" s="12"/>
      <c r="EXK228" s="12"/>
      <c r="EXL228" s="12"/>
      <c r="EXM228" s="12"/>
      <c r="EXN228" s="12"/>
      <c r="EXO228" s="12"/>
      <c r="EXP228" s="12"/>
      <c r="EXQ228" s="12"/>
      <c r="EXR228" s="12"/>
      <c r="EXS228" s="12"/>
      <c r="EXT228" s="12"/>
      <c r="EXU228" s="12"/>
      <c r="EXV228" s="12"/>
      <c r="EXW228" s="12"/>
      <c r="EXX228" s="12"/>
      <c r="EXY228" s="12"/>
      <c r="EXZ228" s="12"/>
      <c r="EYA228" s="12"/>
      <c r="EYB228" s="12"/>
      <c r="EYC228" s="12"/>
      <c r="EYD228" s="12"/>
      <c r="EYE228" s="12"/>
      <c r="EYF228" s="12"/>
      <c r="EYG228" s="12"/>
      <c r="EYH228" s="12"/>
      <c r="EYI228" s="12"/>
      <c r="EYJ228" s="12"/>
      <c r="EYK228" s="12"/>
      <c r="EYL228" s="12"/>
      <c r="EYM228" s="12"/>
      <c r="EYN228" s="12"/>
      <c r="EYO228" s="12"/>
      <c r="EYP228" s="12"/>
      <c r="EYQ228" s="12"/>
      <c r="EYR228" s="12"/>
      <c r="EYS228" s="12"/>
      <c r="EYT228" s="12"/>
      <c r="EYU228" s="12"/>
      <c r="EYV228" s="12"/>
      <c r="EYW228" s="12"/>
      <c r="EYX228" s="12"/>
      <c r="EYY228" s="12"/>
      <c r="EYZ228" s="12"/>
      <c r="EZA228" s="12"/>
      <c r="EZB228" s="12"/>
      <c r="EZC228" s="12"/>
      <c r="EZD228" s="12"/>
      <c r="EZE228" s="12"/>
      <c r="EZF228" s="12"/>
      <c r="EZG228" s="12"/>
      <c r="EZH228" s="12"/>
      <c r="EZI228" s="12"/>
      <c r="EZJ228" s="12"/>
      <c r="EZK228" s="12"/>
      <c r="EZL228" s="12"/>
      <c r="EZM228" s="12"/>
      <c r="EZN228" s="12"/>
      <c r="EZO228" s="12"/>
      <c r="EZP228" s="12"/>
      <c r="EZQ228" s="12"/>
      <c r="EZR228" s="12"/>
      <c r="EZS228" s="12"/>
      <c r="EZT228" s="12"/>
      <c r="EZU228" s="12"/>
      <c r="EZV228" s="12"/>
      <c r="EZW228" s="12"/>
      <c r="EZX228" s="12"/>
      <c r="EZY228" s="12"/>
      <c r="EZZ228" s="12"/>
      <c r="FAA228" s="12"/>
      <c r="FAB228" s="12"/>
      <c r="FAC228" s="12"/>
      <c r="FAD228" s="12"/>
      <c r="FAE228" s="12"/>
      <c r="FAF228" s="12"/>
      <c r="FAG228" s="12"/>
      <c r="FAH228" s="12"/>
      <c r="FAI228" s="12"/>
      <c r="FAJ228" s="12"/>
      <c r="FAK228" s="12"/>
      <c r="FAL228" s="12"/>
      <c r="FAM228" s="12"/>
      <c r="FAN228" s="12"/>
      <c r="FAO228" s="12"/>
      <c r="FAP228" s="12"/>
      <c r="FAQ228" s="12"/>
      <c r="FAR228" s="12"/>
      <c r="FAS228" s="12"/>
      <c r="FAT228" s="12"/>
      <c r="FAU228" s="12"/>
      <c r="FAV228" s="12"/>
      <c r="FAW228" s="12"/>
      <c r="FAX228" s="12"/>
      <c r="FAY228" s="12"/>
      <c r="FAZ228" s="12"/>
      <c r="FBA228" s="12"/>
      <c r="FBB228" s="12"/>
      <c r="FBC228" s="12"/>
      <c r="FBD228" s="12"/>
      <c r="FBE228" s="12"/>
      <c r="FBF228" s="12"/>
      <c r="FBG228" s="12"/>
      <c r="FBH228" s="12"/>
      <c r="FBI228" s="12"/>
      <c r="FBJ228" s="12"/>
      <c r="FBK228" s="12"/>
      <c r="FBL228" s="12"/>
      <c r="FBM228" s="12"/>
      <c r="FBN228" s="12"/>
      <c r="FBO228" s="12"/>
      <c r="FBP228" s="12"/>
      <c r="FBQ228" s="12"/>
      <c r="FBR228" s="12"/>
      <c r="FBS228" s="12"/>
      <c r="FBT228" s="12"/>
      <c r="FBU228" s="12"/>
      <c r="FBV228" s="12"/>
      <c r="FBW228" s="12"/>
      <c r="FBX228" s="12"/>
      <c r="FBY228" s="12"/>
      <c r="FBZ228" s="12"/>
      <c r="FCA228" s="12"/>
      <c r="FCB228" s="12"/>
      <c r="FCC228" s="12"/>
      <c r="FCD228" s="12"/>
      <c r="FCE228" s="12"/>
      <c r="FCF228" s="12"/>
      <c r="FCG228" s="12"/>
      <c r="FCH228" s="12"/>
      <c r="FCI228" s="12"/>
      <c r="FCJ228" s="12"/>
      <c r="FCK228" s="12"/>
      <c r="FCL228" s="12"/>
      <c r="FCM228" s="12"/>
      <c r="FCN228" s="12"/>
      <c r="FCO228" s="12"/>
      <c r="FCP228" s="12"/>
      <c r="FCQ228" s="12"/>
      <c r="FCR228" s="12"/>
      <c r="FCS228" s="12"/>
      <c r="FCT228" s="12"/>
      <c r="FCU228" s="12"/>
      <c r="FCV228" s="12"/>
      <c r="FCW228" s="12"/>
      <c r="FCX228" s="12"/>
      <c r="FCY228" s="12"/>
      <c r="FCZ228" s="12"/>
      <c r="FDA228" s="12"/>
      <c r="FDB228" s="12"/>
      <c r="FDC228" s="12"/>
      <c r="FDD228" s="12"/>
      <c r="FDE228" s="12"/>
      <c r="FDF228" s="12"/>
      <c r="FDG228" s="12"/>
      <c r="FDH228" s="12"/>
      <c r="FDI228" s="12"/>
      <c r="FDJ228" s="12"/>
      <c r="FDK228" s="12"/>
      <c r="FDL228" s="12"/>
      <c r="FDM228" s="12"/>
      <c r="FDN228" s="12"/>
      <c r="FDO228" s="12"/>
      <c r="FDP228" s="12"/>
      <c r="FDQ228" s="12"/>
      <c r="FDR228" s="12"/>
      <c r="FDS228" s="12"/>
      <c r="FDT228" s="12"/>
      <c r="FDU228" s="12"/>
      <c r="FDV228" s="12"/>
      <c r="FDW228" s="12"/>
      <c r="FDX228" s="12"/>
      <c r="FDY228" s="12"/>
      <c r="FDZ228" s="12"/>
      <c r="FEA228" s="12"/>
      <c r="FEB228" s="12"/>
      <c r="FEC228" s="12"/>
      <c r="FED228" s="12"/>
      <c r="FEE228" s="12"/>
      <c r="FEF228" s="12"/>
      <c r="FEG228" s="12"/>
      <c r="FEH228" s="12"/>
      <c r="FEI228" s="12"/>
      <c r="FEJ228" s="12"/>
      <c r="FEK228" s="12"/>
      <c r="FEL228" s="12"/>
      <c r="FEM228" s="12"/>
      <c r="FEN228" s="12"/>
      <c r="FEO228" s="12"/>
      <c r="FEP228" s="12"/>
      <c r="FEQ228" s="12"/>
      <c r="FER228" s="12"/>
      <c r="FES228" s="12"/>
      <c r="FET228" s="12"/>
      <c r="FEU228" s="12"/>
      <c r="FEV228" s="12"/>
      <c r="FEW228" s="12"/>
      <c r="FEX228" s="12"/>
      <c r="FEY228" s="12"/>
      <c r="FEZ228" s="12"/>
      <c r="FFA228" s="12"/>
      <c r="FFB228" s="12"/>
      <c r="FFC228" s="12"/>
      <c r="FFD228" s="12"/>
      <c r="FFE228" s="12"/>
      <c r="FFF228" s="12"/>
      <c r="FFG228" s="12"/>
      <c r="FFH228" s="12"/>
      <c r="FFI228" s="12"/>
      <c r="FFJ228" s="12"/>
      <c r="FFK228" s="12"/>
      <c r="FFL228" s="12"/>
      <c r="FFM228" s="12"/>
      <c r="FFN228" s="12"/>
      <c r="FFO228" s="12"/>
      <c r="FFP228" s="12"/>
      <c r="FFQ228" s="12"/>
      <c r="FFR228" s="12"/>
      <c r="FFS228" s="12"/>
      <c r="FFT228" s="12"/>
      <c r="FFU228" s="12"/>
      <c r="FFV228" s="12"/>
      <c r="FFW228" s="12"/>
      <c r="FFX228" s="12"/>
      <c r="FFY228" s="12"/>
      <c r="FFZ228" s="12"/>
      <c r="FGA228" s="12"/>
      <c r="FGB228" s="12"/>
      <c r="FGC228" s="12"/>
      <c r="FGD228" s="12"/>
      <c r="FGE228" s="12"/>
      <c r="FGF228" s="12"/>
      <c r="FGG228" s="12"/>
      <c r="FGH228" s="12"/>
      <c r="FGI228" s="12"/>
      <c r="FGJ228" s="12"/>
      <c r="FGK228" s="12"/>
      <c r="FGL228" s="12"/>
      <c r="FGM228" s="12"/>
      <c r="FGN228" s="12"/>
      <c r="FGO228" s="12"/>
      <c r="FGP228" s="12"/>
      <c r="FGQ228" s="12"/>
      <c r="FGR228" s="12"/>
      <c r="FGS228" s="12"/>
      <c r="FGT228" s="12"/>
      <c r="FGU228" s="12"/>
      <c r="FGV228" s="12"/>
      <c r="FGW228" s="12"/>
      <c r="FGX228" s="12"/>
      <c r="FGY228" s="12"/>
      <c r="FGZ228" s="12"/>
      <c r="FHA228" s="12"/>
      <c r="FHB228" s="12"/>
      <c r="FHC228" s="12"/>
      <c r="FHD228" s="12"/>
      <c r="FHE228" s="12"/>
      <c r="FHF228" s="12"/>
      <c r="FHG228" s="12"/>
      <c r="FHH228" s="12"/>
      <c r="FHI228" s="12"/>
      <c r="FHJ228" s="12"/>
      <c r="FHK228" s="12"/>
      <c r="FHL228" s="12"/>
      <c r="FHM228" s="12"/>
      <c r="FHN228" s="12"/>
      <c r="FHO228" s="12"/>
      <c r="FHP228" s="12"/>
      <c r="FHQ228" s="12"/>
      <c r="FHR228" s="12"/>
      <c r="FHS228" s="12"/>
      <c r="FHT228" s="12"/>
      <c r="FHU228" s="12"/>
      <c r="FHV228" s="12"/>
      <c r="FHW228" s="12"/>
      <c r="FHX228" s="12"/>
      <c r="FHY228" s="12"/>
      <c r="FHZ228" s="12"/>
      <c r="FIA228" s="12"/>
      <c r="FIB228" s="12"/>
      <c r="FIC228" s="12"/>
      <c r="FID228" s="12"/>
      <c r="FIE228" s="12"/>
      <c r="FIF228" s="12"/>
      <c r="FIG228" s="12"/>
      <c r="FIH228" s="12"/>
      <c r="FII228" s="12"/>
      <c r="FIJ228" s="12"/>
      <c r="FIK228" s="12"/>
      <c r="FIL228" s="12"/>
      <c r="FIM228" s="12"/>
      <c r="FIN228" s="12"/>
      <c r="FIO228" s="12"/>
      <c r="FIP228" s="12"/>
      <c r="FIQ228" s="12"/>
      <c r="FIR228" s="12"/>
      <c r="FIS228" s="12"/>
      <c r="FIT228" s="12"/>
      <c r="FIU228" s="12"/>
      <c r="FIV228" s="12"/>
      <c r="FIW228" s="12"/>
      <c r="FIX228" s="12"/>
      <c r="FIY228" s="12"/>
      <c r="FIZ228" s="12"/>
      <c r="FJA228" s="12"/>
      <c r="FJB228" s="12"/>
      <c r="FJC228" s="12"/>
      <c r="FJD228" s="12"/>
      <c r="FJE228" s="12"/>
      <c r="FJF228" s="12"/>
      <c r="FJG228" s="12"/>
      <c r="FJH228" s="12"/>
      <c r="FJI228" s="12"/>
      <c r="FJJ228" s="12"/>
      <c r="FJK228" s="12"/>
      <c r="FJL228" s="12"/>
      <c r="FJM228" s="12"/>
      <c r="FJN228" s="12"/>
      <c r="FJO228" s="12"/>
      <c r="FJP228" s="12"/>
      <c r="FJQ228" s="12"/>
      <c r="FJR228" s="12"/>
      <c r="FJS228" s="12"/>
      <c r="FJT228" s="12"/>
      <c r="FJU228" s="12"/>
      <c r="FJV228" s="12"/>
      <c r="FJW228" s="12"/>
      <c r="FJX228" s="12"/>
      <c r="FJY228" s="12"/>
      <c r="FJZ228" s="12"/>
      <c r="FKA228" s="12"/>
      <c r="FKB228" s="12"/>
      <c r="FKC228" s="12"/>
      <c r="FKD228" s="12"/>
      <c r="FKE228" s="12"/>
      <c r="FKF228" s="12"/>
      <c r="FKG228" s="12"/>
      <c r="FKH228" s="12"/>
      <c r="FKI228" s="12"/>
      <c r="FKJ228" s="12"/>
      <c r="FKK228" s="12"/>
      <c r="FKL228" s="12"/>
      <c r="FKM228" s="12"/>
      <c r="FKN228" s="12"/>
      <c r="FKO228" s="12"/>
      <c r="FKP228" s="12"/>
      <c r="FKQ228" s="12"/>
      <c r="FKR228" s="12"/>
      <c r="FKS228" s="12"/>
      <c r="FKT228" s="12"/>
      <c r="FKU228" s="12"/>
      <c r="FKV228" s="12"/>
      <c r="FKW228" s="12"/>
      <c r="FKX228" s="12"/>
      <c r="FKY228" s="12"/>
      <c r="FKZ228" s="12"/>
      <c r="FLA228" s="12"/>
      <c r="FLB228" s="12"/>
      <c r="FLC228" s="12"/>
      <c r="FLD228" s="12"/>
      <c r="FLE228" s="12"/>
      <c r="FLF228" s="12"/>
      <c r="FLG228" s="12"/>
      <c r="FLH228" s="12"/>
      <c r="FLI228" s="12"/>
      <c r="FLJ228" s="12"/>
      <c r="FLK228" s="12"/>
      <c r="FLL228" s="12"/>
      <c r="FLM228" s="12"/>
      <c r="FLN228" s="12"/>
      <c r="FLO228" s="12"/>
      <c r="FLP228" s="12"/>
      <c r="FLQ228" s="12"/>
      <c r="FLR228" s="12"/>
      <c r="FLS228" s="12"/>
      <c r="FLT228" s="12"/>
      <c r="FLU228" s="12"/>
      <c r="FLV228" s="12"/>
      <c r="FLW228" s="12"/>
      <c r="FLX228" s="12"/>
      <c r="FLY228" s="12"/>
      <c r="FLZ228" s="12"/>
      <c r="FMA228" s="12"/>
      <c r="FMB228" s="12"/>
      <c r="FMC228" s="12"/>
      <c r="FMD228" s="12"/>
      <c r="FME228" s="12"/>
      <c r="FMF228" s="12"/>
      <c r="FMG228" s="12"/>
      <c r="FMH228" s="12"/>
      <c r="FMI228" s="12"/>
      <c r="FMJ228" s="12"/>
      <c r="FMK228" s="12"/>
      <c r="FML228" s="12"/>
      <c r="FMM228" s="12"/>
      <c r="FMN228" s="12"/>
      <c r="FMO228" s="12"/>
      <c r="FMP228" s="12"/>
      <c r="FMQ228" s="12"/>
      <c r="FMR228" s="12"/>
      <c r="FMS228" s="12"/>
      <c r="FMT228" s="12"/>
      <c r="FMU228" s="12"/>
      <c r="FMV228" s="12"/>
      <c r="FMW228" s="12"/>
      <c r="FMX228" s="12"/>
      <c r="FMY228" s="12"/>
      <c r="FMZ228" s="12"/>
      <c r="FNA228" s="12"/>
      <c r="FNB228" s="12"/>
      <c r="FNC228" s="12"/>
      <c r="FND228" s="12"/>
      <c r="FNE228" s="12"/>
      <c r="FNF228" s="12"/>
      <c r="FNG228" s="12"/>
      <c r="FNH228" s="12"/>
      <c r="FNI228" s="12"/>
      <c r="FNJ228" s="12"/>
      <c r="FNK228" s="12"/>
      <c r="FNL228" s="12"/>
      <c r="FNM228" s="12"/>
      <c r="FNN228" s="12"/>
      <c r="FNO228" s="12"/>
      <c r="FNP228" s="12"/>
      <c r="FNQ228" s="12"/>
      <c r="FNR228" s="12"/>
      <c r="FNS228" s="12"/>
      <c r="FNT228" s="12"/>
      <c r="FNU228" s="12"/>
      <c r="FNV228" s="12"/>
      <c r="FNW228" s="12"/>
      <c r="FNX228" s="12"/>
      <c r="FNY228" s="12"/>
      <c r="FNZ228" s="12"/>
      <c r="FOA228" s="12"/>
      <c r="FOB228" s="12"/>
      <c r="FOC228" s="12"/>
      <c r="FOD228" s="12"/>
      <c r="FOE228" s="12"/>
      <c r="FOF228" s="12"/>
      <c r="FOG228" s="12"/>
      <c r="FOH228" s="12"/>
      <c r="FOI228" s="12"/>
      <c r="FOJ228" s="12"/>
      <c r="FOK228" s="12"/>
      <c r="FOL228" s="12"/>
      <c r="FOM228" s="12"/>
      <c r="FON228" s="12"/>
      <c r="FOO228" s="12"/>
      <c r="FOP228" s="12"/>
      <c r="FOQ228" s="12"/>
      <c r="FOR228" s="12"/>
      <c r="FOS228" s="12"/>
      <c r="FOT228" s="12"/>
      <c r="FOU228" s="12"/>
      <c r="FOV228" s="12"/>
      <c r="FOW228" s="12"/>
      <c r="FOX228" s="12"/>
      <c r="FOY228" s="12"/>
      <c r="FOZ228" s="12"/>
      <c r="FPA228" s="12"/>
      <c r="FPB228" s="12"/>
      <c r="FPC228" s="12"/>
      <c r="FPD228" s="12"/>
      <c r="FPE228" s="12"/>
      <c r="FPF228" s="12"/>
      <c r="FPG228" s="12"/>
      <c r="FPH228" s="12"/>
      <c r="FPI228" s="12"/>
      <c r="FPJ228" s="12"/>
      <c r="FPK228" s="12"/>
      <c r="FPL228" s="12"/>
      <c r="FPM228" s="12"/>
      <c r="FPN228" s="12"/>
      <c r="FPO228" s="12"/>
      <c r="FPP228" s="12"/>
      <c r="FPQ228" s="12"/>
      <c r="FPR228" s="12"/>
      <c r="FPS228" s="12"/>
      <c r="FPT228" s="12"/>
      <c r="FPU228" s="12"/>
      <c r="FPV228" s="12"/>
      <c r="FPW228" s="12"/>
      <c r="FPX228" s="12"/>
      <c r="FPY228" s="12"/>
      <c r="FPZ228" s="12"/>
      <c r="FQA228" s="12"/>
      <c r="FQB228" s="12"/>
      <c r="FQC228" s="12"/>
      <c r="FQD228" s="12"/>
      <c r="FQE228" s="12"/>
      <c r="FQF228" s="12"/>
      <c r="FQG228" s="12"/>
      <c r="FQH228" s="12"/>
      <c r="FQI228" s="12"/>
      <c r="FQJ228" s="12"/>
      <c r="FQK228" s="12"/>
      <c r="FQL228" s="12"/>
      <c r="FQM228" s="12"/>
      <c r="FQN228" s="12"/>
      <c r="FQO228" s="12"/>
      <c r="FQP228" s="12"/>
      <c r="FQQ228" s="12"/>
      <c r="FQR228" s="12"/>
      <c r="FQS228" s="12"/>
      <c r="FQT228" s="12"/>
      <c r="FQU228" s="12"/>
      <c r="FQV228" s="12"/>
      <c r="FQW228" s="12"/>
      <c r="FQX228" s="12"/>
      <c r="FQY228" s="12"/>
      <c r="FQZ228" s="12"/>
      <c r="FRA228" s="12"/>
      <c r="FRB228" s="12"/>
      <c r="FRC228" s="12"/>
      <c r="FRD228" s="12"/>
      <c r="FRE228" s="12"/>
      <c r="FRF228" s="12"/>
      <c r="FRG228" s="12"/>
      <c r="FRH228" s="12"/>
      <c r="FRI228" s="12"/>
      <c r="FRJ228" s="12"/>
      <c r="FRK228" s="12"/>
      <c r="FRL228" s="12"/>
      <c r="FRM228" s="12"/>
      <c r="FRN228" s="12"/>
      <c r="FRO228" s="12"/>
      <c r="FRP228" s="12"/>
      <c r="FRQ228" s="12"/>
      <c r="FRR228" s="12"/>
      <c r="FRS228" s="12"/>
      <c r="FRT228" s="12"/>
      <c r="FRU228" s="12"/>
      <c r="FRV228" s="12"/>
      <c r="FRW228" s="12"/>
      <c r="FRX228" s="12"/>
      <c r="FRY228" s="12"/>
      <c r="FRZ228" s="12"/>
      <c r="FSA228" s="12"/>
      <c r="FSB228" s="12"/>
      <c r="FSC228" s="12"/>
      <c r="FSD228" s="12"/>
      <c r="FSE228" s="12"/>
      <c r="FSF228" s="12"/>
      <c r="FSG228" s="12"/>
      <c r="FSH228" s="12"/>
      <c r="FSI228" s="12"/>
      <c r="FSJ228" s="12"/>
      <c r="FSK228" s="12"/>
      <c r="FSL228" s="12"/>
      <c r="FSM228" s="12"/>
      <c r="FSN228" s="12"/>
      <c r="FSO228" s="12"/>
      <c r="FSP228" s="12"/>
      <c r="FSQ228" s="12"/>
      <c r="FSR228" s="12"/>
      <c r="FSS228" s="12"/>
      <c r="FST228" s="12"/>
      <c r="FSU228" s="12"/>
      <c r="FSV228" s="12"/>
      <c r="FSW228" s="12"/>
      <c r="FSX228" s="12"/>
      <c r="FSY228" s="12"/>
      <c r="FSZ228" s="12"/>
      <c r="FTA228" s="12"/>
      <c r="FTB228" s="12"/>
      <c r="FTC228" s="12"/>
      <c r="FTD228" s="12"/>
      <c r="FTE228" s="12"/>
      <c r="FTF228" s="12"/>
      <c r="FTG228" s="12"/>
      <c r="FTH228" s="12"/>
      <c r="FTI228" s="12"/>
      <c r="FTJ228" s="12"/>
      <c r="FTK228" s="12"/>
      <c r="FTL228" s="12"/>
      <c r="FTM228" s="12"/>
      <c r="FTN228" s="12"/>
      <c r="FTO228" s="12"/>
      <c r="FTP228" s="12"/>
      <c r="FTQ228" s="12"/>
      <c r="FTR228" s="12"/>
      <c r="FTS228" s="12"/>
      <c r="FTT228" s="12"/>
      <c r="FTU228" s="12"/>
      <c r="FTV228" s="12"/>
      <c r="FTW228" s="12"/>
      <c r="FTX228" s="12"/>
      <c r="FTY228" s="12"/>
      <c r="FTZ228" s="12"/>
      <c r="FUA228" s="12"/>
      <c r="FUB228" s="12"/>
      <c r="FUC228" s="12"/>
      <c r="FUD228" s="12"/>
      <c r="FUE228" s="12"/>
      <c r="FUF228" s="12"/>
      <c r="FUG228" s="12"/>
      <c r="FUH228" s="12"/>
      <c r="FUI228" s="12"/>
      <c r="FUJ228" s="12"/>
      <c r="FUK228" s="12"/>
      <c r="FUL228" s="12"/>
      <c r="FUM228" s="12"/>
      <c r="FUN228" s="12"/>
      <c r="FUO228" s="12"/>
      <c r="FUP228" s="12"/>
      <c r="FUQ228" s="12"/>
      <c r="FUR228" s="12"/>
      <c r="FUS228" s="12"/>
      <c r="FUT228" s="12"/>
      <c r="FUU228" s="12"/>
      <c r="FUV228" s="12"/>
      <c r="FUW228" s="12"/>
      <c r="FUX228" s="12"/>
      <c r="FUY228" s="12"/>
      <c r="FUZ228" s="12"/>
      <c r="FVA228" s="12"/>
      <c r="FVB228" s="12"/>
      <c r="FVC228" s="12"/>
      <c r="FVD228" s="12"/>
      <c r="FVE228" s="12"/>
      <c r="FVF228" s="12"/>
      <c r="FVG228" s="12"/>
      <c r="FVH228" s="12"/>
      <c r="FVI228" s="12"/>
      <c r="FVJ228" s="12"/>
      <c r="FVK228" s="12"/>
      <c r="FVL228" s="12"/>
      <c r="FVM228" s="12"/>
      <c r="FVN228" s="12"/>
      <c r="FVO228" s="12"/>
      <c r="FVP228" s="12"/>
      <c r="FVQ228" s="12"/>
      <c r="FVR228" s="12"/>
      <c r="FVS228" s="12"/>
      <c r="FVT228" s="12"/>
      <c r="FVU228" s="12"/>
      <c r="FVV228" s="12"/>
      <c r="FVW228" s="12"/>
      <c r="FVX228" s="12"/>
      <c r="FVY228" s="12"/>
      <c r="FVZ228" s="12"/>
      <c r="FWA228" s="12"/>
      <c r="FWB228" s="12"/>
      <c r="FWC228" s="12"/>
      <c r="FWD228" s="12"/>
      <c r="FWE228" s="12"/>
      <c r="FWF228" s="12"/>
      <c r="FWG228" s="12"/>
      <c r="FWH228" s="12"/>
      <c r="FWI228" s="12"/>
      <c r="FWJ228" s="12"/>
      <c r="FWK228" s="12"/>
      <c r="FWL228" s="12"/>
      <c r="FWM228" s="12"/>
      <c r="FWN228" s="12"/>
      <c r="FWO228" s="12"/>
      <c r="FWP228" s="12"/>
      <c r="FWQ228" s="12"/>
      <c r="FWR228" s="12"/>
      <c r="FWS228" s="12"/>
      <c r="FWT228" s="12"/>
      <c r="FWU228" s="12"/>
      <c r="FWV228" s="12"/>
      <c r="FWW228" s="12"/>
      <c r="FWX228" s="12"/>
      <c r="FWY228" s="12"/>
      <c r="FWZ228" s="12"/>
      <c r="FXA228" s="12"/>
      <c r="FXB228" s="12"/>
      <c r="FXC228" s="12"/>
      <c r="FXD228" s="12"/>
      <c r="FXE228" s="12"/>
      <c r="FXF228" s="12"/>
      <c r="FXG228" s="12"/>
      <c r="FXH228" s="12"/>
      <c r="FXI228" s="12"/>
      <c r="FXJ228" s="12"/>
      <c r="FXK228" s="12"/>
      <c r="FXL228" s="12"/>
      <c r="FXM228" s="12"/>
      <c r="FXN228" s="12"/>
      <c r="FXO228" s="12"/>
      <c r="FXP228" s="12"/>
      <c r="FXQ228" s="12"/>
      <c r="FXR228" s="12"/>
      <c r="FXS228" s="12"/>
      <c r="FXT228" s="12"/>
      <c r="FXU228" s="12"/>
      <c r="FXV228" s="12"/>
      <c r="FXW228" s="12"/>
      <c r="FXX228" s="12"/>
      <c r="FXY228" s="12"/>
      <c r="FXZ228" s="12"/>
      <c r="FYA228" s="12"/>
      <c r="FYB228" s="12"/>
      <c r="FYC228" s="12"/>
      <c r="FYD228" s="12"/>
      <c r="FYE228" s="12"/>
      <c r="FYF228" s="12"/>
      <c r="FYG228" s="12"/>
      <c r="FYH228" s="12"/>
      <c r="FYI228" s="12"/>
      <c r="FYJ228" s="12"/>
      <c r="FYK228" s="12"/>
      <c r="FYL228" s="12"/>
      <c r="FYM228" s="12"/>
      <c r="FYN228" s="12"/>
      <c r="FYO228" s="12"/>
      <c r="FYP228" s="12"/>
      <c r="FYQ228" s="12"/>
      <c r="FYR228" s="12"/>
      <c r="FYS228" s="12"/>
      <c r="FYT228" s="12"/>
      <c r="FYU228" s="12"/>
      <c r="FYV228" s="12"/>
      <c r="FYW228" s="12"/>
      <c r="FYX228" s="12"/>
      <c r="FYY228" s="12"/>
      <c r="FYZ228" s="12"/>
      <c r="FZA228" s="12"/>
      <c r="FZB228" s="12"/>
      <c r="FZC228" s="12"/>
      <c r="FZD228" s="12"/>
      <c r="FZE228" s="12"/>
      <c r="FZF228" s="12"/>
      <c r="FZG228" s="12"/>
      <c r="FZH228" s="12"/>
      <c r="FZI228" s="12"/>
      <c r="FZJ228" s="12"/>
      <c r="FZK228" s="12"/>
      <c r="FZL228" s="12"/>
      <c r="FZM228" s="12"/>
      <c r="FZN228" s="12"/>
      <c r="FZO228" s="12"/>
      <c r="FZP228" s="12"/>
      <c r="FZQ228" s="12"/>
      <c r="FZR228" s="12"/>
      <c r="FZS228" s="12"/>
      <c r="FZT228" s="12"/>
      <c r="FZU228" s="12"/>
      <c r="FZV228" s="12"/>
      <c r="FZW228" s="12"/>
      <c r="FZX228" s="12"/>
      <c r="FZY228" s="12"/>
      <c r="FZZ228" s="12"/>
      <c r="GAA228" s="12"/>
      <c r="GAB228" s="12"/>
      <c r="GAC228" s="12"/>
      <c r="GAD228" s="12"/>
      <c r="GAE228" s="12"/>
      <c r="GAF228" s="12"/>
      <c r="GAG228" s="12"/>
      <c r="GAH228" s="12"/>
      <c r="GAI228" s="12"/>
      <c r="GAJ228" s="12"/>
      <c r="GAK228" s="12"/>
      <c r="GAL228" s="12"/>
      <c r="GAM228" s="12"/>
      <c r="GAN228" s="12"/>
      <c r="GAO228" s="12"/>
      <c r="GAP228" s="12"/>
      <c r="GAQ228" s="12"/>
      <c r="GAR228" s="12"/>
      <c r="GAS228" s="12"/>
      <c r="GAT228" s="12"/>
      <c r="GAU228" s="12"/>
      <c r="GAV228" s="12"/>
      <c r="GAW228" s="12"/>
      <c r="GAX228" s="12"/>
      <c r="GAY228" s="12"/>
      <c r="GAZ228" s="12"/>
      <c r="GBA228" s="12"/>
      <c r="GBB228" s="12"/>
      <c r="GBC228" s="12"/>
      <c r="GBD228" s="12"/>
      <c r="GBE228" s="12"/>
      <c r="GBF228" s="12"/>
      <c r="GBG228" s="12"/>
      <c r="GBH228" s="12"/>
      <c r="GBI228" s="12"/>
      <c r="GBJ228" s="12"/>
      <c r="GBK228" s="12"/>
      <c r="GBL228" s="12"/>
      <c r="GBM228" s="12"/>
      <c r="GBN228" s="12"/>
      <c r="GBO228" s="12"/>
      <c r="GBP228" s="12"/>
      <c r="GBQ228" s="12"/>
      <c r="GBR228" s="12"/>
      <c r="GBS228" s="12"/>
      <c r="GBT228" s="12"/>
      <c r="GBU228" s="12"/>
      <c r="GBV228" s="12"/>
      <c r="GBW228" s="12"/>
      <c r="GBX228" s="12"/>
      <c r="GBY228" s="12"/>
      <c r="GBZ228" s="12"/>
      <c r="GCA228" s="12"/>
      <c r="GCB228" s="12"/>
      <c r="GCC228" s="12"/>
      <c r="GCD228" s="12"/>
      <c r="GCE228" s="12"/>
      <c r="GCF228" s="12"/>
      <c r="GCG228" s="12"/>
      <c r="GCH228" s="12"/>
      <c r="GCI228" s="12"/>
      <c r="GCJ228" s="12"/>
      <c r="GCK228" s="12"/>
      <c r="GCL228" s="12"/>
      <c r="GCM228" s="12"/>
      <c r="GCN228" s="12"/>
      <c r="GCO228" s="12"/>
      <c r="GCP228" s="12"/>
      <c r="GCQ228" s="12"/>
      <c r="GCR228" s="12"/>
      <c r="GCS228" s="12"/>
      <c r="GCT228" s="12"/>
      <c r="GCU228" s="12"/>
      <c r="GCV228" s="12"/>
      <c r="GCW228" s="12"/>
      <c r="GCX228" s="12"/>
      <c r="GCY228" s="12"/>
      <c r="GCZ228" s="12"/>
      <c r="GDA228" s="12"/>
      <c r="GDB228" s="12"/>
      <c r="GDC228" s="12"/>
      <c r="GDD228" s="12"/>
      <c r="GDE228" s="12"/>
      <c r="GDF228" s="12"/>
      <c r="GDG228" s="12"/>
      <c r="GDH228" s="12"/>
      <c r="GDI228" s="12"/>
      <c r="GDJ228" s="12"/>
      <c r="GDK228" s="12"/>
      <c r="GDL228" s="12"/>
      <c r="GDM228" s="12"/>
      <c r="GDN228" s="12"/>
      <c r="GDO228" s="12"/>
      <c r="GDP228" s="12"/>
      <c r="GDQ228" s="12"/>
      <c r="GDR228" s="12"/>
      <c r="GDS228" s="12"/>
      <c r="GDT228" s="12"/>
      <c r="GDU228" s="12"/>
      <c r="GDV228" s="12"/>
      <c r="GDW228" s="12"/>
      <c r="GDX228" s="12"/>
      <c r="GDY228" s="12"/>
      <c r="GDZ228" s="12"/>
      <c r="GEA228" s="12"/>
      <c r="GEB228" s="12"/>
      <c r="GEC228" s="12"/>
      <c r="GED228" s="12"/>
      <c r="GEE228" s="12"/>
      <c r="GEF228" s="12"/>
      <c r="GEG228" s="12"/>
      <c r="GEH228" s="12"/>
      <c r="GEI228" s="12"/>
      <c r="GEJ228" s="12"/>
      <c r="GEK228" s="12"/>
      <c r="GEL228" s="12"/>
      <c r="GEM228" s="12"/>
      <c r="GEN228" s="12"/>
      <c r="GEO228" s="12"/>
      <c r="GEP228" s="12"/>
      <c r="GEQ228" s="12"/>
      <c r="GER228" s="12"/>
      <c r="GES228" s="12"/>
      <c r="GET228" s="12"/>
      <c r="GEU228" s="12"/>
      <c r="GEV228" s="12"/>
      <c r="GEW228" s="12"/>
      <c r="GEX228" s="12"/>
      <c r="GEY228" s="12"/>
      <c r="GEZ228" s="12"/>
      <c r="GFA228" s="12"/>
      <c r="GFB228" s="12"/>
      <c r="GFC228" s="12"/>
      <c r="GFD228" s="12"/>
      <c r="GFE228" s="12"/>
      <c r="GFF228" s="12"/>
      <c r="GFG228" s="12"/>
      <c r="GFH228" s="12"/>
      <c r="GFI228" s="12"/>
      <c r="GFJ228" s="12"/>
      <c r="GFK228" s="12"/>
      <c r="GFL228" s="12"/>
      <c r="GFM228" s="12"/>
      <c r="GFN228" s="12"/>
      <c r="GFO228" s="12"/>
      <c r="GFP228" s="12"/>
      <c r="GFQ228" s="12"/>
      <c r="GFR228" s="12"/>
      <c r="GFS228" s="12"/>
      <c r="GFT228" s="12"/>
      <c r="GFU228" s="12"/>
      <c r="GFV228" s="12"/>
      <c r="GFW228" s="12"/>
      <c r="GFX228" s="12"/>
      <c r="GFY228" s="12"/>
      <c r="GFZ228" s="12"/>
      <c r="GGA228" s="12"/>
      <c r="GGB228" s="12"/>
      <c r="GGC228" s="12"/>
      <c r="GGD228" s="12"/>
      <c r="GGE228" s="12"/>
      <c r="GGF228" s="12"/>
      <c r="GGG228" s="12"/>
      <c r="GGH228" s="12"/>
      <c r="GGI228" s="12"/>
      <c r="GGJ228" s="12"/>
      <c r="GGK228" s="12"/>
      <c r="GGL228" s="12"/>
      <c r="GGM228" s="12"/>
      <c r="GGN228" s="12"/>
      <c r="GGO228" s="12"/>
      <c r="GGP228" s="12"/>
      <c r="GGQ228" s="12"/>
      <c r="GGR228" s="12"/>
      <c r="GGS228" s="12"/>
      <c r="GGT228" s="12"/>
      <c r="GGU228" s="12"/>
      <c r="GGV228" s="12"/>
      <c r="GGW228" s="12"/>
      <c r="GGX228" s="12"/>
      <c r="GGY228" s="12"/>
      <c r="GGZ228" s="12"/>
      <c r="GHA228" s="12"/>
      <c r="GHB228" s="12"/>
      <c r="GHC228" s="12"/>
      <c r="GHD228" s="12"/>
      <c r="GHE228" s="12"/>
      <c r="GHF228" s="12"/>
      <c r="GHG228" s="12"/>
      <c r="GHH228" s="12"/>
      <c r="GHI228" s="12"/>
      <c r="GHJ228" s="12"/>
      <c r="GHK228" s="12"/>
      <c r="GHL228" s="12"/>
      <c r="GHM228" s="12"/>
      <c r="GHN228" s="12"/>
      <c r="GHO228" s="12"/>
      <c r="GHP228" s="12"/>
      <c r="GHQ228" s="12"/>
      <c r="GHR228" s="12"/>
      <c r="GHS228" s="12"/>
      <c r="GHT228" s="12"/>
      <c r="GHU228" s="12"/>
      <c r="GHV228" s="12"/>
      <c r="GHW228" s="12"/>
      <c r="GHX228" s="12"/>
      <c r="GHY228" s="12"/>
      <c r="GHZ228" s="12"/>
      <c r="GIA228" s="12"/>
      <c r="GIB228" s="12"/>
      <c r="GIC228" s="12"/>
      <c r="GID228" s="12"/>
      <c r="GIE228" s="12"/>
      <c r="GIF228" s="12"/>
      <c r="GIG228" s="12"/>
      <c r="GIH228" s="12"/>
      <c r="GII228" s="12"/>
      <c r="GIJ228" s="12"/>
      <c r="GIK228" s="12"/>
      <c r="GIL228" s="12"/>
      <c r="GIM228" s="12"/>
      <c r="GIN228" s="12"/>
      <c r="GIO228" s="12"/>
      <c r="GIP228" s="12"/>
      <c r="GIQ228" s="12"/>
      <c r="GIR228" s="12"/>
      <c r="GIS228" s="12"/>
      <c r="GIT228" s="12"/>
      <c r="GIU228" s="12"/>
      <c r="GIV228" s="12"/>
      <c r="GIW228" s="12"/>
      <c r="GIX228" s="12"/>
      <c r="GIY228" s="12"/>
      <c r="GIZ228" s="12"/>
      <c r="GJA228" s="12"/>
      <c r="GJB228" s="12"/>
      <c r="GJC228" s="12"/>
      <c r="GJD228" s="12"/>
      <c r="GJE228" s="12"/>
      <c r="GJF228" s="12"/>
      <c r="GJG228" s="12"/>
      <c r="GJH228" s="12"/>
      <c r="GJI228" s="12"/>
      <c r="GJJ228" s="12"/>
      <c r="GJK228" s="12"/>
      <c r="GJL228" s="12"/>
      <c r="GJM228" s="12"/>
      <c r="GJN228" s="12"/>
      <c r="GJO228" s="12"/>
      <c r="GJP228" s="12"/>
      <c r="GJQ228" s="12"/>
      <c r="GJR228" s="12"/>
      <c r="GJS228" s="12"/>
      <c r="GJT228" s="12"/>
      <c r="GJU228" s="12"/>
      <c r="GJV228" s="12"/>
      <c r="GJW228" s="12"/>
      <c r="GJX228" s="12"/>
      <c r="GJY228" s="12"/>
      <c r="GJZ228" s="12"/>
      <c r="GKA228" s="12"/>
      <c r="GKB228" s="12"/>
      <c r="GKC228" s="12"/>
      <c r="GKD228" s="12"/>
      <c r="GKE228" s="12"/>
      <c r="GKF228" s="12"/>
      <c r="GKG228" s="12"/>
      <c r="GKH228" s="12"/>
      <c r="GKI228" s="12"/>
      <c r="GKJ228" s="12"/>
      <c r="GKK228" s="12"/>
      <c r="GKL228" s="12"/>
      <c r="GKM228" s="12"/>
      <c r="GKN228" s="12"/>
      <c r="GKO228" s="12"/>
      <c r="GKP228" s="12"/>
      <c r="GKQ228" s="12"/>
      <c r="GKR228" s="12"/>
      <c r="GKS228" s="12"/>
      <c r="GKT228" s="12"/>
      <c r="GKU228" s="12"/>
      <c r="GKV228" s="12"/>
      <c r="GKW228" s="12"/>
      <c r="GKX228" s="12"/>
      <c r="GKY228" s="12"/>
      <c r="GKZ228" s="12"/>
      <c r="GLA228" s="12"/>
      <c r="GLB228" s="12"/>
      <c r="GLC228" s="12"/>
      <c r="GLD228" s="12"/>
      <c r="GLE228" s="12"/>
      <c r="GLF228" s="12"/>
      <c r="GLG228" s="12"/>
      <c r="GLH228" s="12"/>
      <c r="GLI228" s="12"/>
      <c r="GLJ228" s="12"/>
      <c r="GLK228" s="12"/>
      <c r="GLL228" s="12"/>
      <c r="GLM228" s="12"/>
      <c r="GLN228" s="12"/>
      <c r="GLO228" s="12"/>
      <c r="GLP228" s="12"/>
      <c r="GLQ228" s="12"/>
      <c r="GLR228" s="12"/>
      <c r="GLS228" s="12"/>
      <c r="GLT228" s="12"/>
      <c r="GLU228" s="12"/>
      <c r="GLV228" s="12"/>
      <c r="GLW228" s="12"/>
      <c r="GLX228" s="12"/>
      <c r="GLY228" s="12"/>
      <c r="GLZ228" s="12"/>
      <c r="GMA228" s="12"/>
      <c r="GMB228" s="12"/>
      <c r="GMC228" s="12"/>
      <c r="GMD228" s="12"/>
      <c r="GME228" s="12"/>
      <c r="GMF228" s="12"/>
      <c r="GMG228" s="12"/>
      <c r="GMH228" s="12"/>
      <c r="GMI228" s="12"/>
      <c r="GMJ228" s="12"/>
      <c r="GMK228" s="12"/>
      <c r="GML228" s="12"/>
      <c r="GMM228" s="12"/>
      <c r="GMN228" s="12"/>
      <c r="GMO228" s="12"/>
      <c r="GMP228" s="12"/>
      <c r="GMQ228" s="12"/>
      <c r="GMR228" s="12"/>
      <c r="GMS228" s="12"/>
      <c r="GMT228" s="12"/>
      <c r="GMU228" s="12"/>
      <c r="GMV228" s="12"/>
      <c r="GMW228" s="12"/>
      <c r="GMX228" s="12"/>
      <c r="GMY228" s="12"/>
      <c r="GMZ228" s="12"/>
      <c r="GNA228" s="12"/>
      <c r="GNB228" s="12"/>
      <c r="GNC228" s="12"/>
      <c r="GND228" s="12"/>
      <c r="GNE228" s="12"/>
      <c r="GNF228" s="12"/>
      <c r="GNG228" s="12"/>
      <c r="GNH228" s="12"/>
      <c r="GNI228" s="12"/>
      <c r="GNJ228" s="12"/>
      <c r="GNK228" s="12"/>
      <c r="GNL228" s="12"/>
      <c r="GNM228" s="12"/>
      <c r="GNN228" s="12"/>
      <c r="GNO228" s="12"/>
      <c r="GNP228" s="12"/>
      <c r="GNQ228" s="12"/>
      <c r="GNR228" s="12"/>
      <c r="GNS228" s="12"/>
      <c r="GNT228" s="12"/>
      <c r="GNU228" s="12"/>
      <c r="GNV228" s="12"/>
      <c r="GNW228" s="12"/>
      <c r="GNX228" s="12"/>
      <c r="GNY228" s="12"/>
      <c r="GNZ228" s="12"/>
      <c r="GOA228" s="12"/>
      <c r="GOB228" s="12"/>
      <c r="GOC228" s="12"/>
      <c r="GOD228" s="12"/>
      <c r="GOE228" s="12"/>
      <c r="GOF228" s="12"/>
      <c r="GOG228" s="12"/>
      <c r="GOH228" s="12"/>
      <c r="GOI228" s="12"/>
      <c r="GOJ228" s="12"/>
      <c r="GOK228" s="12"/>
      <c r="GOL228" s="12"/>
      <c r="GOM228" s="12"/>
      <c r="GON228" s="12"/>
      <c r="GOO228" s="12"/>
      <c r="GOP228" s="12"/>
      <c r="GOQ228" s="12"/>
      <c r="GOR228" s="12"/>
      <c r="GOS228" s="12"/>
      <c r="GOT228" s="12"/>
      <c r="GOU228" s="12"/>
      <c r="GOV228" s="12"/>
      <c r="GOW228" s="12"/>
      <c r="GOX228" s="12"/>
      <c r="GOY228" s="12"/>
      <c r="GOZ228" s="12"/>
      <c r="GPA228" s="12"/>
      <c r="GPB228" s="12"/>
      <c r="GPC228" s="12"/>
      <c r="GPD228" s="12"/>
      <c r="GPE228" s="12"/>
      <c r="GPF228" s="12"/>
      <c r="GPG228" s="12"/>
      <c r="GPH228" s="12"/>
      <c r="GPI228" s="12"/>
      <c r="GPJ228" s="12"/>
      <c r="GPK228" s="12"/>
      <c r="GPL228" s="12"/>
      <c r="GPM228" s="12"/>
      <c r="GPN228" s="12"/>
      <c r="GPO228" s="12"/>
      <c r="GPP228" s="12"/>
      <c r="GPQ228" s="12"/>
      <c r="GPR228" s="12"/>
      <c r="GPS228" s="12"/>
      <c r="GPT228" s="12"/>
      <c r="GPU228" s="12"/>
      <c r="GPV228" s="12"/>
      <c r="GPW228" s="12"/>
      <c r="GPX228" s="12"/>
      <c r="GPY228" s="12"/>
      <c r="GPZ228" s="12"/>
      <c r="GQA228" s="12"/>
      <c r="GQB228" s="12"/>
      <c r="GQC228" s="12"/>
      <c r="GQD228" s="12"/>
      <c r="GQE228" s="12"/>
      <c r="GQF228" s="12"/>
      <c r="GQG228" s="12"/>
      <c r="GQH228" s="12"/>
      <c r="GQI228" s="12"/>
      <c r="GQJ228" s="12"/>
      <c r="GQK228" s="12"/>
      <c r="GQL228" s="12"/>
      <c r="GQM228" s="12"/>
      <c r="GQN228" s="12"/>
      <c r="GQO228" s="12"/>
      <c r="GQP228" s="12"/>
      <c r="GQQ228" s="12"/>
      <c r="GQR228" s="12"/>
      <c r="GQS228" s="12"/>
      <c r="GQT228" s="12"/>
      <c r="GQU228" s="12"/>
      <c r="GQV228" s="12"/>
      <c r="GQW228" s="12"/>
      <c r="GQX228" s="12"/>
      <c r="GQY228" s="12"/>
      <c r="GQZ228" s="12"/>
      <c r="GRA228" s="12"/>
      <c r="GRB228" s="12"/>
      <c r="GRC228" s="12"/>
      <c r="GRD228" s="12"/>
      <c r="GRE228" s="12"/>
      <c r="GRF228" s="12"/>
      <c r="GRG228" s="12"/>
      <c r="GRH228" s="12"/>
      <c r="GRI228" s="12"/>
      <c r="GRJ228" s="12"/>
      <c r="GRK228" s="12"/>
      <c r="GRL228" s="12"/>
      <c r="GRM228" s="12"/>
      <c r="GRN228" s="12"/>
      <c r="GRO228" s="12"/>
      <c r="GRP228" s="12"/>
      <c r="GRQ228" s="12"/>
      <c r="GRR228" s="12"/>
      <c r="GRS228" s="12"/>
      <c r="GRT228" s="12"/>
      <c r="GRU228" s="12"/>
      <c r="GRV228" s="12"/>
      <c r="GRW228" s="12"/>
      <c r="GRX228" s="12"/>
      <c r="GRY228" s="12"/>
      <c r="GRZ228" s="12"/>
      <c r="GSA228" s="12"/>
      <c r="GSB228" s="12"/>
      <c r="GSC228" s="12"/>
      <c r="GSD228" s="12"/>
      <c r="GSE228" s="12"/>
      <c r="GSF228" s="12"/>
      <c r="GSG228" s="12"/>
      <c r="GSH228" s="12"/>
      <c r="GSI228" s="12"/>
      <c r="GSJ228" s="12"/>
      <c r="GSK228" s="12"/>
      <c r="GSL228" s="12"/>
      <c r="GSM228" s="12"/>
      <c r="GSN228" s="12"/>
      <c r="GSO228" s="12"/>
      <c r="GSP228" s="12"/>
      <c r="GSQ228" s="12"/>
      <c r="GSR228" s="12"/>
      <c r="GSS228" s="12"/>
      <c r="GST228" s="12"/>
      <c r="GSU228" s="12"/>
      <c r="GSV228" s="12"/>
      <c r="GSW228" s="12"/>
      <c r="GSX228" s="12"/>
      <c r="GSY228" s="12"/>
      <c r="GSZ228" s="12"/>
      <c r="GTA228" s="12"/>
      <c r="GTB228" s="12"/>
      <c r="GTC228" s="12"/>
      <c r="GTD228" s="12"/>
      <c r="GTE228" s="12"/>
      <c r="GTF228" s="12"/>
      <c r="GTG228" s="12"/>
      <c r="GTH228" s="12"/>
      <c r="GTI228" s="12"/>
      <c r="GTJ228" s="12"/>
      <c r="GTK228" s="12"/>
      <c r="GTL228" s="12"/>
      <c r="GTM228" s="12"/>
      <c r="GTN228" s="12"/>
      <c r="GTO228" s="12"/>
      <c r="GTP228" s="12"/>
      <c r="GTQ228" s="12"/>
      <c r="GTR228" s="12"/>
      <c r="GTS228" s="12"/>
      <c r="GTT228" s="12"/>
      <c r="GTU228" s="12"/>
      <c r="GTV228" s="12"/>
      <c r="GTW228" s="12"/>
      <c r="GTX228" s="12"/>
      <c r="GTY228" s="12"/>
      <c r="GTZ228" s="12"/>
      <c r="GUA228" s="12"/>
      <c r="GUB228" s="12"/>
      <c r="GUC228" s="12"/>
      <c r="GUD228" s="12"/>
      <c r="GUE228" s="12"/>
      <c r="GUF228" s="12"/>
      <c r="GUG228" s="12"/>
      <c r="GUH228" s="12"/>
      <c r="GUI228" s="12"/>
      <c r="GUJ228" s="12"/>
      <c r="GUK228" s="12"/>
      <c r="GUL228" s="12"/>
      <c r="GUM228" s="12"/>
      <c r="GUN228" s="12"/>
      <c r="GUO228" s="12"/>
      <c r="GUP228" s="12"/>
      <c r="GUQ228" s="12"/>
      <c r="GUR228" s="12"/>
      <c r="GUS228" s="12"/>
      <c r="GUT228" s="12"/>
      <c r="GUU228" s="12"/>
      <c r="GUV228" s="12"/>
      <c r="GUW228" s="12"/>
      <c r="GUX228" s="12"/>
      <c r="GUY228" s="12"/>
      <c r="GUZ228" s="12"/>
      <c r="GVA228" s="12"/>
      <c r="GVB228" s="12"/>
      <c r="GVC228" s="12"/>
      <c r="GVD228" s="12"/>
      <c r="GVE228" s="12"/>
      <c r="GVF228" s="12"/>
      <c r="GVG228" s="12"/>
      <c r="GVH228" s="12"/>
      <c r="GVI228" s="12"/>
      <c r="GVJ228" s="12"/>
      <c r="GVK228" s="12"/>
      <c r="GVL228" s="12"/>
      <c r="GVM228" s="12"/>
      <c r="GVN228" s="12"/>
      <c r="GVO228" s="12"/>
      <c r="GVP228" s="12"/>
      <c r="GVQ228" s="12"/>
      <c r="GVR228" s="12"/>
      <c r="GVS228" s="12"/>
      <c r="GVT228" s="12"/>
      <c r="GVU228" s="12"/>
      <c r="GVV228" s="12"/>
      <c r="GVW228" s="12"/>
      <c r="GVX228" s="12"/>
      <c r="GVY228" s="12"/>
      <c r="GVZ228" s="12"/>
      <c r="GWA228" s="12"/>
      <c r="GWB228" s="12"/>
      <c r="GWC228" s="12"/>
      <c r="GWD228" s="12"/>
      <c r="GWE228" s="12"/>
      <c r="GWF228" s="12"/>
      <c r="GWG228" s="12"/>
      <c r="GWH228" s="12"/>
      <c r="GWI228" s="12"/>
      <c r="GWJ228" s="12"/>
      <c r="GWK228" s="12"/>
      <c r="GWL228" s="12"/>
      <c r="GWM228" s="12"/>
      <c r="GWN228" s="12"/>
      <c r="GWO228" s="12"/>
      <c r="GWP228" s="12"/>
      <c r="GWQ228" s="12"/>
      <c r="GWR228" s="12"/>
      <c r="GWS228" s="12"/>
      <c r="GWT228" s="12"/>
      <c r="GWU228" s="12"/>
      <c r="GWV228" s="12"/>
      <c r="GWW228" s="12"/>
      <c r="GWX228" s="12"/>
      <c r="GWY228" s="12"/>
      <c r="GWZ228" s="12"/>
      <c r="GXA228" s="12"/>
      <c r="GXB228" s="12"/>
      <c r="GXC228" s="12"/>
      <c r="GXD228" s="12"/>
      <c r="GXE228" s="12"/>
      <c r="GXF228" s="12"/>
      <c r="GXG228" s="12"/>
      <c r="GXH228" s="12"/>
      <c r="GXI228" s="12"/>
      <c r="GXJ228" s="12"/>
      <c r="GXK228" s="12"/>
      <c r="GXL228" s="12"/>
      <c r="GXM228" s="12"/>
      <c r="GXN228" s="12"/>
      <c r="GXO228" s="12"/>
      <c r="GXP228" s="12"/>
      <c r="GXQ228" s="12"/>
      <c r="GXR228" s="12"/>
      <c r="GXS228" s="12"/>
      <c r="GXT228" s="12"/>
      <c r="GXU228" s="12"/>
      <c r="GXV228" s="12"/>
      <c r="GXW228" s="12"/>
      <c r="GXX228" s="12"/>
      <c r="GXY228" s="12"/>
      <c r="GXZ228" s="12"/>
      <c r="GYA228" s="12"/>
      <c r="GYB228" s="12"/>
      <c r="GYC228" s="12"/>
      <c r="GYD228" s="12"/>
      <c r="GYE228" s="12"/>
      <c r="GYF228" s="12"/>
      <c r="GYG228" s="12"/>
      <c r="GYH228" s="12"/>
      <c r="GYI228" s="12"/>
      <c r="GYJ228" s="12"/>
      <c r="GYK228" s="12"/>
      <c r="GYL228" s="12"/>
      <c r="GYM228" s="12"/>
      <c r="GYN228" s="12"/>
      <c r="GYO228" s="12"/>
      <c r="GYP228" s="12"/>
      <c r="GYQ228" s="12"/>
      <c r="GYR228" s="12"/>
      <c r="GYS228" s="12"/>
      <c r="GYT228" s="12"/>
      <c r="GYU228" s="12"/>
      <c r="GYV228" s="12"/>
      <c r="GYW228" s="12"/>
      <c r="GYX228" s="12"/>
      <c r="GYY228" s="12"/>
      <c r="GYZ228" s="12"/>
      <c r="GZA228" s="12"/>
      <c r="GZB228" s="12"/>
      <c r="GZC228" s="12"/>
      <c r="GZD228" s="12"/>
      <c r="GZE228" s="12"/>
      <c r="GZF228" s="12"/>
      <c r="GZG228" s="12"/>
      <c r="GZH228" s="12"/>
      <c r="GZI228" s="12"/>
      <c r="GZJ228" s="12"/>
      <c r="GZK228" s="12"/>
      <c r="GZL228" s="12"/>
      <c r="GZM228" s="12"/>
      <c r="GZN228" s="12"/>
      <c r="GZO228" s="12"/>
      <c r="GZP228" s="12"/>
      <c r="GZQ228" s="12"/>
      <c r="GZR228" s="12"/>
      <c r="GZS228" s="12"/>
      <c r="GZT228" s="12"/>
      <c r="GZU228" s="12"/>
      <c r="GZV228" s="12"/>
      <c r="GZW228" s="12"/>
      <c r="GZX228" s="12"/>
      <c r="GZY228" s="12"/>
      <c r="GZZ228" s="12"/>
      <c r="HAA228" s="12"/>
      <c r="HAB228" s="12"/>
      <c r="HAC228" s="12"/>
      <c r="HAD228" s="12"/>
      <c r="HAE228" s="12"/>
      <c r="HAF228" s="12"/>
      <c r="HAG228" s="12"/>
      <c r="HAH228" s="12"/>
      <c r="HAI228" s="12"/>
      <c r="HAJ228" s="12"/>
      <c r="HAK228" s="12"/>
      <c r="HAL228" s="12"/>
      <c r="HAM228" s="12"/>
      <c r="HAN228" s="12"/>
      <c r="HAO228" s="12"/>
      <c r="HAP228" s="12"/>
      <c r="HAQ228" s="12"/>
      <c r="HAR228" s="12"/>
      <c r="HAS228" s="12"/>
      <c r="HAT228" s="12"/>
      <c r="HAU228" s="12"/>
      <c r="HAV228" s="12"/>
      <c r="HAW228" s="12"/>
      <c r="HAX228" s="12"/>
      <c r="HAY228" s="12"/>
      <c r="HAZ228" s="12"/>
      <c r="HBA228" s="12"/>
      <c r="HBB228" s="12"/>
      <c r="HBC228" s="12"/>
      <c r="HBD228" s="12"/>
      <c r="HBE228" s="12"/>
      <c r="HBF228" s="12"/>
      <c r="HBG228" s="12"/>
      <c r="HBH228" s="12"/>
      <c r="HBI228" s="12"/>
      <c r="HBJ228" s="12"/>
      <c r="HBK228" s="12"/>
      <c r="HBL228" s="12"/>
      <c r="HBM228" s="12"/>
      <c r="HBN228" s="12"/>
      <c r="HBO228" s="12"/>
      <c r="HBP228" s="12"/>
      <c r="HBQ228" s="12"/>
      <c r="HBR228" s="12"/>
      <c r="HBS228" s="12"/>
      <c r="HBT228" s="12"/>
      <c r="HBU228" s="12"/>
      <c r="HBV228" s="12"/>
      <c r="HBW228" s="12"/>
      <c r="HBX228" s="12"/>
      <c r="HBY228" s="12"/>
      <c r="HBZ228" s="12"/>
      <c r="HCA228" s="12"/>
      <c r="HCB228" s="12"/>
      <c r="HCC228" s="12"/>
      <c r="HCD228" s="12"/>
      <c r="HCE228" s="12"/>
      <c r="HCF228" s="12"/>
      <c r="HCG228" s="12"/>
      <c r="HCH228" s="12"/>
      <c r="HCI228" s="12"/>
      <c r="HCJ228" s="12"/>
      <c r="HCK228" s="12"/>
      <c r="HCL228" s="12"/>
      <c r="HCM228" s="12"/>
      <c r="HCN228" s="12"/>
      <c r="HCO228" s="12"/>
      <c r="HCP228" s="12"/>
      <c r="HCQ228" s="12"/>
      <c r="HCR228" s="12"/>
      <c r="HCS228" s="12"/>
      <c r="HCT228" s="12"/>
      <c r="HCU228" s="12"/>
      <c r="HCV228" s="12"/>
      <c r="HCW228" s="12"/>
      <c r="HCX228" s="12"/>
      <c r="HCY228" s="12"/>
      <c r="HCZ228" s="12"/>
      <c r="HDA228" s="12"/>
      <c r="HDB228" s="12"/>
      <c r="HDC228" s="12"/>
      <c r="HDD228" s="12"/>
      <c r="HDE228" s="12"/>
      <c r="HDF228" s="12"/>
      <c r="HDG228" s="12"/>
      <c r="HDH228" s="12"/>
      <c r="HDI228" s="12"/>
      <c r="HDJ228" s="12"/>
      <c r="HDK228" s="12"/>
      <c r="HDL228" s="12"/>
      <c r="HDM228" s="12"/>
      <c r="HDN228" s="12"/>
      <c r="HDO228" s="12"/>
      <c r="HDP228" s="12"/>
      <c r="HDQ228" s="12"/>
      <c r="HDR228" s="12"/>
      <c r="HDS228" s="12"/>
      <c r="HDT228" s="12"/>
      <c r="HDU228" s="12"/>
      <c r="HDV228" s="12"/>
      <c r="HDW228" s="12"/>
      <c r="HDX228" s="12"/>
      <c r="HDY228" s="12"/>
      <c r="HDZ228" s="12"/>
      <c r="HEA228" s="12"/>
      <c r="HEB228" s="12"/>
      <c r="HEC228" s="12"/>
      <c r="HED228" s="12"/>
      <c r="HEE228" s="12"/>
      <c r="HEF228" s="12"/>
      <c r="HEG228" s="12"/>
      <c r="HEH228" s="12"/>
      <c r="HEI228" s="12"/>
      <c r="HEJ228" s="12"/>
      <c r="HEK228" s="12"/>
      <c r="HEL228" s="12"/>
      <c r="HEM228" s="12"/>
      <c r="HEN228" s="12"/>
      <c r="HEO228" s="12"/>
      <c r="HEP228" s="12"/>
      <c r="HEQ228" s="12"/>
      <c r="HER228" s="12"/>
      <c r="HES228" s="12"/>
      <c r="HET228" s="12"/>
      <c r="HEU228" s="12"/>
      <c r="HEV228" s="12"/>
      <c r="HEW228" s="12"/>
      <c r="HEX228" s="12"/>
      <c r="HEY228" s="12"/>
      <c r="HEZ228" s="12"/>
      <c r="HFA228" s="12"/>
      <c r="HFB228" s="12"/>
      <c r="HFC228" s="12"/>
      <c r="HFD228" s="12"/>
      <c r="HFE228" s="12"/>
      <c r="HFF228" s="12"/>
      <c r="HFG228" s="12"/>
      <c r="HFH228" s="12"/>
      <c r="HFI228" s="12"/>
      <c r="HFJ228" s="12"/>
      <c r="HFK228" s="12"/>
      <c r="HFL228" s="12"/>
      <c r="HFM228" s="12"/>
      <c r="HFN228" s="12"/>
      <c r="HFO228" s="12"/>
      <c r="HFP228" s="12"/>
      <c r="HFQ228" s="12"/>
      <c r="HFR228" s="12"/>
      <c r="HFS228" s="12"/>
      <c r="HFT228" s="12"/>
      <c r="HFU228" s="12"/>
      <c r="HFV228" s="12"/>
      <c r="HFW228" s="12"/>
      <c r="HFX228" s="12"/>
      <c r="HFY228" s="12"/>
      <c r="HFZ228" s="12"/>
      <c r="HGA228" s="12"/>
      <c r="HGB228" s="12"/>
      <c r="HGC228" s="12"/>
      <c r="HGD228" s="12"/>
      <c r="HGE228" s="12"/>
      <c r="HGF228" s="12"/>
      <c r="HGG228" s="12"/>
      <c r="HGH228" s="12"/>
      <c r="HGI228" s="12"/>
      <c r="HGJ228" s="12"/>
      <c r="HGK228" s="12"/>
      <c r="HGL228" s="12"/>
      <c r="HGM228" s="12"/>
      <c r="HGN228" s="12"/>
      <c r="HGO228" s="12"/>
      <c r="HGP228" s="12"/>
      <c r="HGQ228" s="12"/>
      <c r="HGR228" s="12"/>
      <c r="HGS228" s="12"/>
      <c r="HGT228" s="12"/>
      <c r="HGU228" s="12"/>
      <c r="HGV228" s="12"/>
      <c r="HGW228" s="12"/>
      <c r="HGX228" s="12"/>
      <c r="HGY228" s="12"/>
      <c r="HGZ228" s="12"/>
      <c r="HHA228" s="12"/>
      <c r="HHB228" s="12"/>
      <c r="HHC228" s="12"/>
      <c r="HHD228" s="12"/>
      <c r="HHE228" s="12"/>
      <c r="HHF228" s="12"/>
      <c r="HHG228" s="12"/>
      <c r="HHH228" s="12"/>
      <c r="HHI228" s="12"/>
      <c r="HHJ228" s="12"/>
      <c r="HHK228" s="12"/>
      <c r="HHL228" s="12"/>
      <c r="HHM228" s="12"/>
      <c r="HHN228" s="12"/>
      <c r="HHO228" s="12"/>
      <c r="HHP228" s="12"/>
      <c r="HHQ228" s="12"/>
      <c r="HHR228" s="12"/>
      <c r="HHS228" s="12"/>
      <c r="HHT228" s="12"/>
      <c r="HHU228" s="12"/>
      <c r="HHV228" s="12"/>
      <c r="HHW228" s="12"/>
      <c r="HHX228" s="12"/>
      <c r="HHY228" s="12"/>
      <c r="HHZ228" s="12"/>
      <c r="HIA228" s="12"/>
      <c r="HIB228" s="12"/>
      <c r="HIC228" s="12"/>
      <c r="HID228" s="12"/>
      <c r="HIE228" s="12"/>
      <c r="HIF228" s="12"/>
      <c r="HIG228" s="12"/>
      <c r="HIH228" s="12"/>
      <c r="HII228" s="12"/>
      <c r="HIJ228" s="12"/>
      <c r="HIK228" s="12"/>
      <c r="HIL228" s="12"/>
      <c r="HIM228" s="12"/>
      <c r="HIN228" s="12"/>
      <c r="HIO228" s="12"/>
      <c r="HIP228" s="12"/>
      <c r="HIQ228" s="12"/>
      <c r="HIR228" s="12"/>
      <c r="HIS228" s="12"/>
      <c r="HIT228" s="12"/>
      <c r="HIU228" s="12"/>
      <c r="HIV228" s="12"/>
      <c r="HIW228" s="12"/>
      <c r="HIX228" s="12"/>
      <c r="HIY228" s="12"/>
      <c r="HIZ228" s="12"/>
      <c r="HJA228" s="12"/>
      <c r="HJB228" s="12"/>
      <c r="HJC228" s="12"/>
      <c r="HJD228" s="12"/>
      <c r="HJE228" s="12"/>
      <c r="HJF228" s="12"/>
      <c r="HJG228" s="12"/>
      <c r="HJH228" s="12"/>
      <c r="HJI228" s="12"/>
      <c r="HJJ228" s="12"/>
      <c r="HJK228" s="12"/>
      <c r="HJL228" s="12"/>
      <c r="HJM228" s="12"/>
      <c r="HJN228" s="12"/>
      <c r="HJO228" s="12"/>
      <c r="HJP228" s="12"/>
      <c r="HJQ228" s="12"/>
      <c r="HJR228" s="12"/>
      <c r="HJS228" s="12"/>
      <c r="HJT228" s="12"/>
      <c r="HJU228" s="12"/>
      <c r="HJV228" s="12"/>
      <c r="HJW228" s="12"/>
      <c r="HJX228" s="12"/>
      <c r="HJY228" s="12"/>
      <c r="HJZ228" s="12"/>
      <c r="HKA228" s="12"/>
      <c r="HKB228" s="12"/>
      <c r="HKC228" s="12"/>
      <c r="HKD228" s="12"/>
      <c r="HKE228" s="12"/>
      <c r="HKF228" s="12"/>
      <c r="HKG228" s="12"/>
      <c r="HKH228" s="12"/>
      <c r="HKI228" s="12"/>
      <c r="HKJ228" s="12"/>
      <c r="HKK228" s="12"/>
      <c r="HKL228" s="12"/>
      <c r="HKM228" s="12"/>
      <c r="HKN228" s="12"/>
      <c r="HKO228" s="12"/>
      <c r="HKP228" s="12"/>
      <c r="HKQ228" s="12"/>
      <c r="HKR228" s="12"/>
      <c r="HKS228" s="12"/>
      <c r="HKT228" s="12"/>
      <c r="HKU228" s="12"/>
      <c r="HKV228" s="12"/>
      <c r="HKW228" s="12"/>
      <c r="HKX228" s="12"/>
      <c r="HKY228" s="12"/>
      <c r="HKZ228" s="12"/>
      <c r="HLA228" s="12"/>
      <c r="HLB228" s="12"/>
      <c r="HLC228" s="12"/>
      <c r="HLD228" s="12"/>
      <c r="HLE228" s="12"/>
      <c r="HLF228" s="12"/>
      <c r="HLG228" s="12"/>
      <c r="HLH228" s="12"/>
      <c r="HLI228" s="12"/>
      <c r="HLJ228" s="12"/>
      <c r="HLK228" s="12"/>
      <c r="HLL228" s="12"/>
      <c r="HLM228" s="12"/>
      <c r="HLN228" s="12"/>
      <c r="HLO228" s="12"/>
      <c r="HLP228" s="12"/>
      <c r="HLQ228" s="12"/>
      <c r="HLR228" s="12"/>
      <c r="HLS228" s="12"/>
      <c r="HLT228" s="12"/>
      <c r="HLU228" s="12"/>
      <c r="HLV228" s="12"/>
      <c r="HLW228" s="12"/>
      <c r="HLX228" s="12"/>
      <c r="HLY228" s="12"/>
      <c r="HLZ228" s="12"/>
      <c r="HMA228" s="12"/>
      <c r="HMB228" s="12"/>
      <c r="HMC228" s="12"/>
      <c r="HMD228" s="12"/>
      <c r="HME228" s="12"/>
      <c r="HMF228" s="12"/>
      <c r="HMG228" s="12"/>
      <c r="HMH228" s="12"/>
      <c r="HMI228" s="12"/>
      <c r="HMJ228" s="12"/>
      <c r="HMK228" s="12"/>
      <c r="HML228" s="12"/>
      <c r="HMM228" s="12"/>
      <c r="HMN228" s="12"/>
      <c r="HMO228" s="12"/>
      <c r="HMP228" s="12"/>
      <c r="HMQ228" s="12"/>
      <c r="HMR228" s="12"/>
      <c r="HMS228" s="12"/>
      <c r="HMT228" s="12"/>
      <c r="HMU228" s="12"/>
      <c r="HMV228" s="12"/>
      <c r="HMW228" s="12"/>
      <c r="HMX228" s="12"/>
      <c r="HMY228" s="12"/>
      <c r="HMZ228" s="12"/>
      <c r="HNA228" s="12"/>
      <c r="HNB228" s="12"/>
      <c r="HNC228" s="12"/>
      <c r="HND228" s="12"/>
      <c r="HNE228" s="12"/>
      <c r="HNF228" s="12"/>
      <c r="HNG228" s="12"/>
      <c r="HNH228" s="12"/>
      <c r="HNI228" s="12"/>
      <c r="HNJ228" s="12"/>
      <c r="HNK228" s="12"/>
      <c r="HNL228" s="12"/>
      <c r="HNM228" s="12"/>
      <c r="HNN228" s="12"/>
      <c r="HNO228" s="12"/>
      <c r="HNP228" s="12"/>
      <c r="HNQ228" s="12"/>
      <c r="HNR228" s="12"/>
      <c r="HNS228" s="12"/>
      <c r="HNT228" s="12"/>
      <c r="HNU228" s="12"/>
      <c r="HNV228" s="12"/>
      <c r="HNW228" s="12"/>
      <c r="HNX228" s="12"/>
      <c r="HNY228" s="12"/>
      <c r="HNZ228" s="12"/>
      <c r="HOA228" s="12"/>
      <c r="HOB228" s="12"/>
      <c r="HOC228" s="12"/>
      <c r="HOD228" s="12"/>
      <c r="HOE228" s="12"/>
      <c r="HOF228" s="12"/>
      <c r="HOG228" s="12"/>
      <c r="HOH228" s="12"/>
      <c r="HOI228" s="12"/>
      <c r="HOJ228" s="12"/>
      <c r="HOK228" s="12"/>
      <c r="HOL228" s="12"/>
      <c r="HOM228" s="12"/>
      <c r="HON228" s="12"/>
      <c r="HOO228" s="12"/>
      <c r="HOP228" s="12"/>
      <c r="HOQ228" s="12"/>
      <c r="HOR228" s="12"/>
      <c r="HOS228" s="12"/>
      <c r="HOT228" s="12"/>
      <c r="HOU228" s="12"/>
      <c r="HOV228" s="12"/>
      <c r="HOW228" s="12"/>
      <c r="HOX228" s="12"/>
      <c r="HOY228" s="12"/>
      <c r="HOZ228" s="12"/>
      <c r="HPA228" s="12"/>
      <c r="HPB228" s="12"/>
      <c r="HPC228" s="12"/>
      <c r="HPD228" s="12"/>
      <c r="HPE228" s="12"/>
      <c r="HPF228" s="12"/>
      <c r="HPG228" s="12"/>
      <c r="HPH228" s="12"/>
      <c r="HPI228" s="12"/>
      <c r="HPJ228" s="12"/>
      <c r="HPK228" s="12"/>
      <c r="HPL228" s="12"/>
      <c r="HPM228" s="12"/>
      <c r="HPN228" s="12"/>
      <c r="HPO228" s="12"/>
      <c r="HPP228" s="12"/>
      <c r="HPQ228" s="12"/>
      <c r="HPR228" s="12"/>
      <c r="HPS228" s="12"/>
      <c r="HPT228" s="12"/>
      <c r="HPU228" s="12"/>
      <c r="HPV228" s="12"/>
      <c r="HPW228" s="12"/>
      <c r="HPX228" s="12"/>
      <c r="HPY228" s="12"/>
      <c r="HPZ228" s="12"/>
      <c r="HQA228" s="12"/>
      <c r="HQB228" s="12"/>
      <c r="HQC228" s="12"/>
      <c r="HQD228" s="12"/>
      <c r="HQE228" s="12"/>
      <c r="HQF228" s="12"/>
      <c r="HQG228" s="12"/>
      <c r="HQH228" s="12"/>
      <c r="HQI228" s="12"/>
      <c r="HQJ228" s="12"/>
      <c r="HQK228" s="12"/>
      <c r="HQL228" s="12"/>
      <c r="HQM228" s="12"/>
      <c r="HQN228" s="12"/>
      <c r="HQO228" s="12"/>
      <c r="HQP228" s="12"/>
      <c r="HQQ228" s="12"/>
      <c r="HQR228" s="12"/>
      <c r="HQS228" s="12"/>
      <c r="HQT228" s="12"/>
      <c r="HQU228" s="12"/>
      <c r="HQV228" s="12"/>
      <c r="HQW228" s="12"/>
      <c r="HQX228" s="12"/>
      <c r="HQY228" s="12"/>
      <c r="HQZ228" s="12"/>
      <c r="HRA228" s="12"/>
      <c r="HRB228" s="12"/>
      <c r="HRC228" s="12"/>
      <c r="HRD228" s="12"/>
      <c r="HRE228" s="12"/>
      <c r="HRF228" s="12"/>
      <c r="HRG228" s="12"/>
      <c r="HRH228" s="12"/>
      <c r="HRI228" s="12"/>
      <c r="HRJ228" s="12"/>
      <c r="HRK228" s="12"/>
      <c r="HRL228" s="12"/>
      <c r="HRM228" s="12"/>
      <c r="HRN228" s="12"/>
      <c r="HRO228" s="12"/>
      <c r="HRP228" s="12"/>
      <c r="HRQ228" s="12"/>
      <c r="HRR228" s="12"/>
      <c r="HRS228" s="12"/>
      <c r="HRT228" s="12"/>
      <c r="HRU228" s="12"/>
      <c r="HRV228" s="12"/>
      <c r="HRW228" s="12"/>
      <c r="HRX228" s="12"/>
      <c r="HRY228" s="12"/>
      <c r="HRZ228" s="12"/>
      <c r="HSA228" s="12"/>
      <c r="HSB228" s="12"/>
      <c r="HSC228" s="12"/>
      <c r="HSD228" s="12"/>
      <c r="HSE228" s="12"/>
      <c r="HSF228" s="12"/>
      <c r="HSG228" s="12"/>
      <c r="HSH228" s="12"/>
      <c r="HSI228" s="12"/>
      <c r="HSJ228" s="12"/>
      <c r="HSK228" s="12"/>
      <c r="HSL228" s="12"/>
      <c r="HSM228" s="12"/>
      <c r="HSN228" s="12"/>
      <c r="HSO228" s="12"/>
      <c r="HSP228" s="12"/>
      <c r="HSQ228" s="12"/>
      <c r="HSR228" s="12"/>
      <c r="HSS228" s="12"/>
      <c r="HST228" s="12"/>
      <c r="HSU228" s="12"/>
      <c r="HSV228" s="12"/>
      <c r="HSW228" s="12"/>
      <c r="HSX228" s="12"/>
      <c r="HSY228" s="12"/>
      <c r="HSZ228" s="12"/>
      <c r="HTA228" s="12"/>
      <c r="HTB228" s="12"/>
      <c r="HTC228" s="12"/>
      <c r="HTD228" s="12"/>
      <c r="HTE228" s="12"/>
      <c r="HTF228" s="12"/>
      <c r="HTG228" s="12"/>
      <c r="HTH228" s="12"/>
      <c r="HTI228" s="12"/>
      <c r="HTJ228" s="12"/>
      <c r="HTK228" s="12"/>
      <c r="HTL228" s="12"/>
      <c r="HTM228" s="12"/>
      <c r="HTN228" s="12"/>
      <c r="HTO228" s="12"/>
      <c r="HTP228" s="12"/>
      <c r="HTQ228" s="12"/>
      <c r="HTR228" s="12"/>
      <c r="HTS228" s="12"/>
      <c r="HTT228" s="12"/>
      <c r="HTU228" s="12"/>
      <c r="HTV228" s="12"/>
      <c r="HTW228" s="12"/>
      <c r="HTX228" s="12"/>
      <c r="HTY228" s="12"/>
      <c r="HTZ228" s="12"/>
      <c r="HUA228" s="12"/>
      <c r="HUB228" s="12"/>
      <c r="HUC228" s="12"/>
      <c r="HUD228" s="12"/>
      <c r="HUE228" s="12"/>
      <c r="HUF228" s="12"/>
      <c r="HUG228" s="12"/>
      <c r="HUH228" s="12"/>
      <c r="HUI228" s="12"/>
      <c r="HUJ228" s="12"/>
      <c r="HUK228" s="12"/>
      <c r="HUL228" s="12"/>
      <c r="HUM228" s="12"/>
      <c r="HUN228" s="12"/>
      <c r="HUO228" s="12"/>
      <c r="HUP228" s="12"/>
      <c r="HUQ228" s="12"/>
      <c r="HUR228" s="12"/>
      <c r="HUS228" s="12"/>
      <c r="HUT228" s="12"/>
      <c r="HUU228" s="12"/>
      <c r="HUV228" s="12"/>
      <c r="HUW228" s="12"/>
      <c r="HUX228" s="12"/>
      <c r="HUY228" s="12"/>
      <c r="HUZ228" s="12"/>
      <c r="HVA228" s="12"/>
      <c r="HVB228" s="12"/>
      <c r="HVC228" s="12"/>
      <c r="HVD228" s="12"/>
      <c r="HVE228" s="12"/>
      <c r="HVF228" s="12"/>
      <c r="HVG228" s="12"/>
      <c r="HVH228" s="12"/>
      <c r="HVI228" s="12"/>
      <c r="HVJ228" s="12"/>
      <c r="HVK228" s="12"/>
      <c r="HVL228" s="12"/>
      <c r="HVM228" s="12"/>
      <c r="HVN228" s="12"/>
      <c r="HVO228" s="12"/>
      <c r="HVP228" s="12"/>
      <c r="HVQ228" s="12"/>
      <c r="HVR228" s="12"/>
      <c r="HVS228" s="12"/>
      <c r="HVT228" s="12"/>
      <c r="HVU228" s="12"/>
      <c r="HVV228" s="12"/>
      <c r="HVW228" s="12"/>
      <c r="HVX228" s="12"/>
      <c r="HVY228" s="12"/>
      <c r="HVZ228" s="12"/>
      <c r="HWA228" s="12"/>
      <c r="HWB228" s="12"/>
      <c r="HWC228" s="12"/>
      <c r="HWD228" s="12"/>
      <c r="HWE228" s="12"/>
      <c r="HWF228" s="12"/>
      <c r="HWG228" s="12"/>
      <c r="HWH228" s="12"/>
      <c r="HWI228" s="12"/>
      <c r="HWJ228" s="12"/>
      <c r="HWK228" s="12"/>
      <c r="HWL228" s="12"/>
      <c r="HWM228" s="12"/>
      <c r="HWN228" s="12"/>
      <c r="HWO228" s="12"/>
      <c r="HWP228" s="12"/>
      <c r="HWQ228" s="12"/>
      <c r="HWR228" s="12"/>
      <c r="HWS228" s="12"/>
      <c r="HWT228" s="12"/>
      <c r="HWU228" s="12"/>
      <c r="HWV228" s="12"/>
      <c r="HWW228" s="12"/>
      <c r="HWX228" s="12"/>
      <c r="HWY228" s="12"/>
      <c r="HWZ228" s="12"/>
      <c r="HXA228" s="12"/>
      <c r="HXB228" s="12"/>
      <c r="HXC228" s="12"/>
      <c r="HXD228" s="12"/>
      <c r="HXE228" s="12"/>
      <c r="HXF228" s="12"/>
      <c r="HXG228" s="12"/>
      <c r="HXH228" s="12"/>
      <c r="HXI228" s="12"/>
      <c r="HXJ228" s="12"/>
      <c r="HXK228" s="12"/>
      <c r="HXL228" s="12"/>
      <c r="HXM228" s="12"/>
      <c r="HXN228" s="12"/>
      <c r="HXO228" s="12"/>
      <c r="HXP228" s="12"/>
      <c r="HXQ228" s="12"/>
      <c r="HXR228" s="12"/>
      <c r="HXS228" s="12"/>
      <c r="HXT228" s="12"/>
      <c r="HXU228" s="12"/>
      <c r="HXV228" s="12"/>
      <c r="HXW228" s="12"/>
      <c r="HXX228" s="12"/>
      <c r="HXY228" s="12"/>
      <c r="HXZ228" s="12"/>
      <c r="HYA228" s="12"/>
      <c r="HYB228" s="12"/>
      <c r="HYC228" s="12"/>
      <c r="HYD228" s="12"/>
      <c r="HYE228" s="12"/>
      <c r="HYF228" s="12"/>
      <c r="HYG228" s="12"/>
      <c r="HYH228" s="12"/>
      <c r="HYI228" s="12"/>
      <c r="HYJ228" s="12"/>
      <c r="HYK228" s="12"/>
      <c r="HYL228" s="12"/>
      <c r="HYM228" s="12"/>
      <c r="HYN228" s="12"/>
      <c r="HYO228" s="12"/>
      <c r="HYP228" s="12"/>
      <c r="HYQ228" s="12"/>
      <c r="HYR228" s="12"/>
      <c r="HYS228" s="12"/>
      <c r="HYT228" s="12"/>
      <c r="HYU228" s="12"/>
      <c r="HYV228" s="12"/>
      <c r="HYW228" s="12"/>
      <c r="HYX228" s="12"/>
      <c r="HYY228" s="12"/>
      <c r="HYZ228" s="12"/>
      <c r="HZA228" s="12"/>
      <c r="HZB228" s="12"/>
      <c r="HZC228" s="12"/>
      <c r="HZD228" s="12"/>
      <c r="HZE228" s="12"/>
      <c r="HZF228" s="12"/>
      <c r="HZG228" s="12"/>
      <c r="HZH228" s="12"/>
      <c r="HZI228" s="12"/>
      <c r="HZJ228" s="12"/>
      <c r="HZK228" s="12"/>
      <c r="HZL228" s="12"/>
      <c r="HZM228" s="12"/>
      <c r="HZN228" s="12"/>
      <c r="HZO228" s="12"/>
      <c r="HZP228" s="12"/>
      <c r="HZQ228" s="12"/>
      <c r="HZR228" s="12"/>
      <c r="HZS228" s="12"/>
      <c r="HZT228" s="12"/>
      <c r="HZU228" s="12"/>
      <c r="HZV228" s="12"/>
      <c r="HZW228" s="12"/>
      <c r="HZX228" s="12"/>
      <c r="HZY228" s="12"/>
      <c r="HZZ228" s="12"/>
      <c r="IAA228" s="12"/>
      <c r="IAB228" s="12"/>
      <c r="IAC228" s="12"/>
      <c r="IAD228" s="12"/>
      <c r="IAE228" s="12"/>
      <c r="IAF228" s="12"/>
      <c r="IAG228" s="12"/>
      <c r="IAH228" s="12"/>
      <c r="IAI228" s="12"/>
      <c r="IAJ228" s="12"/>
      <c r="IAK228" s="12"/>
      <c r="IAL228" s="12"/>
      <c r="IAM228" s="12"/>
      <c r="IAN228" s="12"/>
      <c r="IAO228" s="12"/>
      <c r="IAP228" s="12"/>
      <c r="IAQ228" s="12"/>
      <c r="IAR228" s="12"/>
      <c r="IAS228" s="12"/>
      <c r="IAT228" s="12"/>
      <c r="IAU228" s="12"/>
      <c r="IAV228" s="12"/>
      <c r="IAW228" s="12"/>
      <c r="IAX228" s="12"/>
      <c r="IAY228" s="12"/>
      <c r="IAZ228" s="12"/>
      <c r="IBA228" s="12"/>
      <c r="IBB228" s="12"/>
      <c r="IBC228" s="12"/>
      <c r="IBD228" s="12"/>
      <c r="IBE228" s="12"/>
      <c r="IBF228" s="12"/>
      <c r="IBG228" s="12"/>
      <c r="IBH228" s="12"/>
      <c r="IBI228" s="12"/>
      <c r="IBJ228" s="12"/>
      <c r="IBK228" s="12"/>
      <c r="IBL228" s="12"/>
      <c r="IBM228" s="12"/>
      <c r="IBN228" s="12"/>
      <c r="IBO228" s="12"/>
      <c r="IBP228" s="12"/>
      <c r="IBQ228" s="12"/>
      <c r="IBR228" s="12"/>
      <c r="IBS228" s="12"/>
      <c r="IBT228" s="12"/>
      <c r="IBU228" s="12"/>
      <c r="IBV228" s="12"/>
      <c r="IBW228" s="12"/>
      <c r="IBX228" s="12"/>
      <c r="IBY228" s="12"/>
      <c r="IBZ228" s="12"/>
      <c r="ICA228" s="12"/>
      <c r="ICB228" s="12"/>
      <c r="ICC228" s="12"/>
      <c r="ICD228" s="12"/>
      <c r="ICE228" s="12"/>
      <c r="ICF228" s="12"/>
      <c r="ICG228" s="12"/>
      <c r="ICH228" s="12"/>
      <c r="ICI228" s="12"/>
      <c r="ICJ228" s="12"/>
      <c r="ICK228" s="12"/>
      <c r="ICL228" s="12"/>
      <c r="ICM228" s="12"/>
      <c r="ICN228" s="12"/>
      <c r="ICO228" s="12"/>
      <c r="ICP228" s="12"/>
      <c r="ICQ228" s="12"/>
      <c r="ICR228" s="12"/>
      <c r="ICS228" s="12"/>
      <c r="ICT228" s="12"/>
      <c r="ICU228" s="12"/>
      <c r="ICV228" s="12"/>
      <c r="ICW228" s="12"/>
      <c r="ICX228" s="12"/>
      <c r="ICY228" s="12"/>
      <c r="ICZ228" s="12"/>
      <c r="IDA228" s="12"/>
      <c r="IDB228" s="12"/>
      <c r="IDC228" s="12"/>
      <c r="IDD228" s="12"/>
      <c r="IDE228" s="12"/>
      <c r="IDF228" s="12"/>
      <c r="IDG228" s="12"/>
      <c r="IDH228" s="12"/>
      <c r="IDI228" s="12"/>
      <c r="IDJ228" s="12"/>
      <c r="IDK228" s="12"/>
      <c r="IDL228" s="12"/>
      <c r="IDM228" s="12"/>
      <c r="IDN228" s="12"/>
      <c r="IDO228" s="12"/>
      <c r="IDP228" s="12"/>
      <c r="IDQ228" s="12"/>
      <c r="IDR228" s="12"/>
      <c r="IDS228" s="12"/>
      <c r="IDT228" s="12"/>
      <c r="IDU228" s="12"/>
      <c r="IDV228" s="12"/>
      <c r="IDW228" s="12"/>
      <c r="IDX228" s="12"/>
      <c r="IDY228" s="12"/>
      <c r="IDZ228" s="12"/>
      <c r="IEA228" s="12"/>
      <c r="IEB228" s="12"/>
      <c r="IEC228" s="12"/>
      <c r="IED228" s="12"/>
      <c r="IEE228" s="12"/>
      <c r="IEF228" s="12"/>
      <c r="IEG228" s="12"/>
      <c r="IEH228" s="12"/>
      <c r="IEI228" s="12"/>
      <c r="IEJ228" s="12"/>
      <c r="IEK228" s="12"/>
      <c r="IEL228" s="12"/>
      <c r="IEM228" s="12"/>
      <c r="IEN228" s="12"/>
      <c r="IEO228" s="12"/>
      <c r="IEP228" s="12"/>
      <c r="IEQ228" s="12"/>
      <c r="IER228" s="12"/>
      <c r="IES228" s="12"/>
      <c r="IET228" s="12"/>
      <c r="IEU228" s="12"/>
      <c r="IEV228" s="12"/>
      <c r="IEW228" s="12"/>
      <c r="IEX228" s="12"/>
      <c r="IEY228" s="12"/>
      <c r="IEZ228" s="12"/>
      <c r="IFA228" s="12"/>
      <c r="IFB228" s="12"/>
      <c r="IFC228" s="12"/>
      <c r="IFD228" s="12"/>
      <c r="IFE228" s="12"/>
      <c r="IFF228" s="12"/>
      <c r="IFG228" s="12"/>
      <c r="IFH228" s="12"/>
      <c r="IFI228" s="12"/>
      <c r="IFJ228" s="12"/>
      <c r="IFK228" s="12"/>
      <c r="IFL228" s="12"/>
      <c r="IFM228" s="12"/>
      <c r="IFN228" s="12"/>
      <c r="IFO228" s="12"/>
      <c r="IFP228" s="12"/>
      <c r="IFQ228" s="12"/>
      <c r="IFR228" s="12"/>
      <c r="IFS228" s="12"/>
      <c r="IFT228" s="12"/>
      <c r="IFU228" s="12"/>
      <c r="IFV228" s="12"/>
      <c r="IFW228" s="12"/>
      <c r="IFX228" s="12"/>
      <c r="IFY228" s="12"/>
      <c r="IFZ228" s="12"/>
      <c r="IGA228" s="12"/>
      <c r="IGB228" s="12"/>
      <c r="IGC228" s="12"/>
      <c r="IGD228" s="12"/>
      <c r="IGE228" s="12"/>
      <c r="IGF228" s="12"/>
      <c r="IGG228" s="12"/>
      <c r="IGH228" s="12"/>
      <c r="IGI228" s="12"/>
      <c r="IGJ228" s="12"/>
      <c r="IGK228" s="12"/>
      <c r="IGL228" s="12"/>
      <c r="IGM228" s="12"/>
      <c r="IGN228" s="12"/>
      <c r="IGO228" s="12"/>
      <c r="IGP228" s="12"/>
      <c r="IGQ228" s="12"/>
      <c r="IGR228" s="12"/>
      <c r="IGS228" s="12"/>
      <c r="IGT228" s="12"/>
      <c r="IGU228" s="12"/>
      <c r="IGV228" s="12"/>
      <c r="IGW228" s="12"/>
      <c r="IGX228" s="12"/>
      <c r="IGY228" s="12"/>
      <c r="IGZ228" s="12"/>
      <c r="IHA228" s="12"/>
      <c r="IHB228" s="12"/>
      <c r="IHC228" s="12"/>
      <c r="IHD228" s="12"/>
      <c r="IHE228" s="12"/>
      <c r="IHF228" s="12"/>
      <c r="IHG228" s="12"/>
      <c r="IHH228" s="12"/>
      <c r="IHI228" s="12"/>
      <c r="IHJ228" s="12"/>
      <c r="IHK228" s="12"/>
      <c r="IHL228" s="12"/>
      <c r="IHM228" s="12"/>
      <c r="IHN228" s="12"/>
      <c r="IHO228" s="12"/>
      <c r="IHP228" s="12"/>
      <c r="IHQ228" s="12"/>
      <c r="IHR228" s="12"/>
      <c r="IHS228" s="12"/>
      <c r="IHT228" s="12"/>
      <c r="IHU228" s="12"/>
      <c r="IHV228" s="12"/>
      <c r="IHW228" s="12"/>
      <c r="IHX228" s="12"/>
      <c r="IHY228" s="12"/>
      <c r="IHZ228" s="12"/>
      <c r="IIA228" s="12"/>
      <c r="IIB228" s="12"/>
      <c r="IIC228" s="12"/>
      <c r="IID228" s="12"/>
      <c r="IIE228" s="12"/>
      <c r="IIF228" s="12"/>
      <c r="IIG228" s="12"/>
      <c r="IIH228" s="12"/>
      <c r="III228" s="12"/>
      <c r="IIJ228" s="12"/>
      <c r="IIK228" s="12"/>
      <c r="IIL228" s="12"/>
      <c r="IIM228" s="12"/>
      <c r="IIN228" s="12"/>
      <c r="IIO228" s="12"/>
      <c r="IIP228" s="12"/>
      <c r="IIQ228" s="12"/>
      <c r="IIR228" s="12"/>
      <c r="IIS228" s="12"/>
      <c r="IIT228" s="12"/>
      <c r="IIU228" s="12"/>
      <c r="IIV228" s="12"/>
      <c r="IIW228" s="12"/>
      <c r="IIX228" s="12"/>
      <c r="IIY228" s="12"/>
      <c r="IIZ228" s="12"/>
      <c r="IJA228" s="12"/>
      <c r="IJB228" s="12"/>
      <c r="IJC228" s="12"/>
      <c r="IJD228" s="12"/>
      <c r="IJE228" s="12"/>
      <c r="IJF228" s="12"/>
      <c r="IJG228" s="12"/>
      <c r="IJH228" s="12"/>
      <c r="IJI228" s="12"/>
      <c r="IJJ228" s="12"/>
      <c r="IJK228" s="12"/>
      <c r="IJL228" s="12"/>
      <c r="IJM228" s="12"/>
      <c r="IJN228" s="12"/>
      <c r="IJO228" s="12"/>
      <c r="IJP228" s="12"/>
      <c r="IJQ228" s="12"/>
      <c r="IJR228" s="12"/>
      <c r="IJS228" s="12"/>
      <c r="IJT228" s="12"/>
      <c r="IJU228" s="12"/>
      <c r="IJV228" s="12"/>
      <c r="IJW228" s="12"/>
      <c r="IJX228" s="12"/>
      <c r="IJY228" s="12"/>
      <c r="IJZ228" s="12"/>
      <c r="IKA228" s="12"/>
      <c r="IKB228" s="12"/>
      <c r="IKC228" s="12"/>
      <c r="IKD228" s="12"/>
      <c r="IKE228" s="12"/>
      <c r="IKF228" s="12"/>
      <c r="IKG228" s="12"/>
      <c r="IKH228" s="12"/>
      <c r="IKI228" s="12"/>
      <c r="IKJ228" s="12"/>
      <c r="IKK228" s="12"/>
      <c r="IKL228" s="12"/>
      <c r="IKM228" s="12"/>
      <c r="IKN228" s="12"/>
      <c r="IKO228" s="12"/>
      <c r="IKP228" s="12"/>
      <c r="IKQ228" s="12"/>
      <c r="IKR228" s="12"/>
      <c r="IKS228" s="12"/>
      <c r="IKT228" s="12"/>
      <c r="IKU228" s="12"/>
      <c r="IKV228" s="12"/>
      <c r="IKW228" s="12"/>
      <c r="IKX228" s="12"/>
      <c r="IKY228" s="12"/>
      <c r="IKZ228" s="12"/>
      <c r="ILA228" s="12"/>
      <c r="ILB228" s="12"/>
      <c r="ILC228" s="12"/>
      <c r="ILD228" s="12"/>
      <c r="ILE228" s="12"/>
      <c r="ILF228" s="12"/>
      <c r="ILG228" s="12"/>
      <c r="ILH228" s="12"/>
      <c r="ILI228" s="12"/>
      <c r="ILJ228" s="12"/>
      <c r="ILK228" s="12"/>
      <c r="ILL228" s="12"/>
      <c r="ILM228" s="12"/>
      <c r="ILN228" s="12"/>
      <c r="ILO228" s="12"/>
      <c r="ILP228" s="12"/>
      <c r="ILQ228" s="12"/>
      <c r="ILR228" s="12"/>
      <c r="ILS228" s="12"/>
      <c r="ILT228" s="12"/>
      <c r="ILU228" s="12"/>
      <c r="ILV228" s="12"/>
      <c r="ILW228" s="12"/>
      <c r="ILX228" s="12"/>
      <c r="ILY228" s="12"/>
      <c r="ILZ228" s="12"/>
      <c r="IMA228" s="12"/>
      <c r="IMB228" s="12"/>
      <c r="IMC228" s="12"/>
      <c r="IMD228" s="12"/>
      <c r="IME228" s="12"/>
      <c r="IMF228" s="12"/>
      <c r="IMG228" s="12"/>
      <c r="IMH228" s="12"/>
      <c r="IMI228" s="12"/>
      <c r="IMJ228" s="12"/>
      <c r="IMK228" s="12"/>
      <c r="IML228" s="12"/>
      <c r="IMM228" s="12"/>
      <c r="IMN228" s="12"/>
      <c r="IMO228" s="12"/>
      <c r="IMP228" s="12"/>
      <c r="IMQ228" s="12"/>
      <c r="IMR228" s="12"/>
      <c r="IMS228" s="12"/>
      <c r="IMT228" s="12"/>
      <c r="IMU228" s="12"/>
      <c r="IMV228" s="12"/>
      <c r="IMW228" s="12"/>
      <c r="IMX228" s="12"/>
      <c r="IMY228" s="12"/>
      <c r="IMZ228" s="12"/>
      <c r="INA228" s="12"/>
      <c r="INB228" s="12"/>
      <c r="INC228" s="12"/>
      <c r="IND228" s="12"/>
      <c r="INE228" s="12"/>
      <c r="INF228" s="12"/>
      <c r="ING228" s="12"/>
      <c r="INH228" s="12"/>
      <c r="INI228" s="12"/>
      <c r="INJ228" s="12"/>
      <c r="INK228" s="12"/>
      <c r="INL228" s="12"/>
      <c r="INM228" s="12"/>
      <c r="INN228" s="12"/>
      <c r="INO228" s="12"/>
      <c r="INP228" s="12"/>
      <c r="INQ228" s="12"/>
      <c r="INR228" s="12"/>
      <c r="INS228" s="12"/>
      <c r="INT228" s="12"/>
      <c r="INU228" s="12"/>
      <c r="INV228" s="12"/>
      <c r="INW228" s="12"/>
      <c r="INX228" s="12"/>
      <c r="INY228" s="12"/>
      <c r="INZ228" s="12"/>
      <c r="IOA228" s="12"/>
      <c r="IOB228" s="12"/>
      <c r="IOC228" s="12"/>
      <c r="IOD228" s="12"/>
      <c r="IOE228" s="12"/>
      <c r="IOF228" s="12"/>
      <c r="IOG228" s="12"/>
      <c r="IOH228" s="12"/>
      <c r="IOI228" s="12"/>
      <c r="IOJ228" s="12"/>
      <c r="IOK228" s="12"/>
      <c r="IOL228" s="12"/>
      <c r="IOM228" s="12"/>
      <c r="ION228" s="12"/>
      <c r="IOO228" s="12"/>
      <c r="IOP228" s="12"/>
      <c r="IOQ228" s="12"/>
      <c r="IOR228" s="12"/>
      <c r="IOS228" s="12"/>
      <c r="IOT228" s="12"/>
      <c r="IOU228" s="12"/>
      <c r="IOV228" s="12"/>
      <c r="IOW228" s="12"/>
      <c r="IOX228" s="12"/>
      <c r="IOY228" s="12"/>
      <c r="IOZ228" s="12"/>
      <c r="IPA228" s="12"/>
      <c r="IPB228" s="12"/>
      <c r="IPC228" s="12"/>
      <c r="IPD228" s="12"/>
      <c r="IPE228" s="12"/>
      <c r="IPF228" s="12"/>
      <c r="IPG228" s="12"/>
      <c r="IPH228" s="12"/>
      <c r="IPI228" s="12"/>
      <c r="IPJ228" s="12"/>
      <c r="IPK228" s="12"/>
      <c r="IPL228" s="12"/>
      <c r="IPM228" s="12"/>
      <c r="IPN228" s="12"/>
      <c r="IPO228" s="12"/>
      <c r="IPP228" s="12"/>
      <c r="IPQ228" s="12"/>
      <c r="IPR228" s="12"/>
      <c r="IPS228" s="12"/>
      <c r="IPT228" s="12"/>
      <c r="IPU228" s="12"/>
      <c r="IPV228" s="12"/>
      <c r="IPW228" s="12"/>
      <c r="IPX228" s="12"/>
      <c r="IPY228" s="12"/>
      <c r="IPZ228" s="12"/>
      <c r="IQA228" s="12"/>
      <c r="IQB228" s="12"/>
      <c r="IQC228" s="12"/>
      <c r="IQD228" s="12"/>
      <c r="IQE228" s="12"/>
      <c r="IQF228" s="12"/>
      <c r="IQG228" s="12"/>
      <c r="IQH228" s="12"/>
      <c r="IQI228" s="12"/>
      <c r="IQJ228" s="12"/>
      <c r="IQK228" s="12"/>
      <c r="IQL228" s="12"/>
      <c r="IQM228" s="12"/>
      <c r="IQN228" s="12"/>
      <c r="IQO228" s="12"/>
      <c r="IQP228" s="12"/>
      <c r="IQQ228" s="12"/>
      <c r="IQR228" s="12"/>
      <c r="IQS228" s="12"/>
      <c r="IQT228" s="12"/>
      <c r="IQU228" s="12"/>
      <c r="IQV228" s="12"/>
      <c r="IQW228" s="12"/>
      <c r="IQX228" s="12"/>
      <c r="IQY228" s="12"/>
      <c r="IQZ228" s="12"/>
      <c r="IRA228" s="12"/>
      <c r="IRB228" s="12"/>
      <c r="IRC228" s="12"/>
      <c r="IRD228" s="12"/>
      <c r="IRE228" s="12"/>
      <c r="IRF228" s="12"/>
      <c r="IRG228" s="12"/>
      <c r="IRH228" s="12"/>
      <c r="IRI228" s="12"/>
      <c r="IRJ228" s="12"/>
      <c r="IRK228" s="12"/>
      <c r="IRL228" s="12"/>
      <c r="IRM228" s="12"/>
      <c r="IRN228" s="12"/>
      <c r="IRO228" s="12"/>
      <c r="IRP228" s="12"/>
      <c r="IRQ228" s="12"/>
      <c r="IRR228" s="12"/>
      <c r="IRS228" s="12"/>
      <c r="IRT228" s="12"/>
      <c r="IRU228" s="12"/>
      <c r="IRV228" s="12"/>
      <c r="IRW228" s="12"/>
      <c r="IRX228" s="12"/>
      <c r="IRY228" s="12"/>
      <c r="IRZ228" s="12"/>
      <c r="ISA228" s="12"/>
      <c r="ISB228" s="12"/>
      <c r="ISC228" s="12"/>
      <c r="ISD228" s="12"/>
      <c r="ISE228" s="12"/>
      <c r="ISF228" s="12"/>
      <c r="ISG228" s="12"/>
      <c r="ISH228" s="12"/>
      <c r="ISI228" s="12"/>
      <c r="ISJ228" s="12"/>
      <c r="ISK228" s="12"/>
      <c r="ISL228" s="12"/>
      <c r="ISM228" s="12"/>
      <c r="ISN228" s="12"/>
      <c r="ISO228" s="12"/>
      <c r="ISP228" s="12"/>
      <c r="ISQ228" s="12"/>
      <c r="ISR228" s="12"/>
      <c r="ISS228" s="12"/>
      <c r="IST228" s="12"/>
      <c r="ISU228" s="12"/>
      <c r="ISV228" s="12"/>
      <c r="ISW228" s="12"/>
      <c r="ISX228" s="12"/>
      <c r="ISY228" s="12"/>
      <c r="ISZ228" s="12"/>
      <c r="ITA228" s="12"/>
      <c r="ITB228" s="12"/>
      <c r="ITC228" s="12"/>
      <c r="ITD228" s="12"/>
      <c r="ITE228" s="12"/>
      <c r="ITF228" s="12"/>
      <c r="ITG228" s="12"/>
      <c r="ITH228" s="12"/>
      <c r="ITI228" s="12"/>
      <c r="ITJ228" s="12"/>
      <c r="ITK228" s="12"/>
      <c r="ITL228" s="12"/>
      <c r="ITM228" s="12"/>
      <c r="ITN228" s="12"/>
      <c r="ITO228" s="12"/>
      <c r="ITP228" s="12"/>
      <c r="ITQ228" s="12"/>
      <c r="ITR228" s="12"/>
      <c r="ITS228" s="12"/>
      <c r="ITT228" s="12"/>
      <c r="ITU228" s="12"/>
      <c r="ITV228" s="12"/>
      <c r="ITW228" s="12"/>
      <c r="ITX228" s="12"/>
      <c r="ITY228" s="12"/>
      <c r="ITZ228" s="12"/>
      <c r="IUA228" s="12"/>
      <c r="IUB228" s="12"/>
      <c r="IUC228" s="12"/>
      <c r="IUD228" s="12"/>
      <c r="IUE228" s="12"/>
      <c r="IUF228" s="12"/>
      <c r="IUG228" s="12"/>
      <c r="IUH228" s="12"/>
      <c r="IUI228" s="12"/>
      <c r="IUJ228" s="12"/>
      <c r="IUK228" s="12"/>
      <c r="IUL228" s="12"/>
      <c r="IUM228" s="12"/>
      <c r="IUN228" s="12"/>
      <c r="IUO228" s="12"/>
      <c r="IUP228" s="12"/>
      <c r="IUQ228" s="12"/>
      <c r="IUR228" s="12"/>
      <c r="IUS228" s="12"/>
      <c r="IUT228" s="12"/>
      <c r="IUU228" s="12"/>
      <c r="IUV228" s="12"/>
      <c r="IUW228" s="12"/>
      <c r="IUX228" s="12"/>
      <c r="IUY228" s="12"/>
      <c r="IUZ228" s="12"/>
      <c r="IVA228" s="12"/>
      <c r="IVB228" s="12"/>
      <c r="IVC228" s="12"/>
      <c r="IVD228" s="12"/>
      <c r="IVE228" s="12"/>
      <c r="IVF228" s="12"/>
      <c r="IVG228" s="12"/>
      <c r="IVH228" s="12"/>
      <c r="IVI228" s="12"/>
      <c r="IVJ228" s="12"/>
      <c r="IVK228" s="12"/>
      <c r="IVL228" s="12"/>
      <c r="IVM228" s="12"/>
      <c r="IVN228" s="12"/>
      <c r="IVO228" s="12"/>
      <c r="IVP228" s="12"/>
      <c r="IVQ228" s="12"/>
      <c r="IVR228" s="12"/>
      <c r="IVS228" s="12"/>
      <c r="IVT228" s="12"/>
      <c r="IVU228" s="12"/>
      <c r="IVV228" s="12"/>
      <c r="IVW228" s="12"/>
      <c r="IVX228" s="12"/>
      <c r="IVY228" s="12"/>
      <c r="IVZ228" s="12"/>
      <c r="IWA228" s="12"/>
      <c r="IWB228" s="12"/>
      <c r="IWC228" s="12"/>
      <c r="IWD228" s="12"/>
      <c r="IWE228" s="12"/>
      <c r="IWF228" s="12"/>
      <c r="IWG228" s="12"/>
      <c r="IWH228" s="12"/>
      <c r="IWI228" s="12"/>
      <c r="IWJ228" s="12"/>
      <c r="IWK228" s="12"/>
      <c r="IWL228" s="12"/>
      <c r="IWM228" s="12"/>
      <c r="IWN228" s="12"/>
      <c r="IWO228" s="12"/>
      <c r="IWP228" s="12"/>
      <c r="IWQ228" s="12"/>
      <c r="IWR228" s="12"/>
      <c r="IWS228" s="12"/>
      <c r="IWT228" s="12"/>
      <c r="IWU228" s="12"/>
      <c r="IWV228" s="12"/>
      <c r="IWW228" s="12"/>
      <c r="IWX228" s="12"/>
      <c r="IWY228" s="12"/>
      <c r="IWZ228" s="12"/>
      <c r="IXA228" s="12"/>
      <c r="IXB228" s="12"/>
      <c r="IXC228" s="12"/>
      <c r="IXD228" s="12"/>
      <c r="IXE228" s="12"/>
      <c r="IXF228" s="12"/>
      <c r="IXG228" s="12"/>
      <c r="IXH228" s="12"/>
      <c r="IXI228" s="12"/>
      <c r="IXJ228" s="12"/>
      <c r="IXK228" s="12"/>
      <c r="IXL228" s="12"/>
      <c r="IXM228" s="12"/>
      <c r="IXN228" s="12"/>
      <c r="IXO228" s="12"/>
      <c r="IXP228" s="12"/>
      <c r="IXQ228" s="12"/>
      <c r="IXR228" s="12"/>
      <c r="IXS228" s="12"/>
      <c r="IXT228" s="12"/>
      <c r="IXU228" s="12"/>
      <c r="IXV228" s="12"/>
      <c r="IXW228" s="12"/>
      <c r="IXX228" s="12"/>
      <c r="IXY228" s="12"/>
      <c r="IXZ228" s="12"/>
      <c r="IYA228" s="12"/>
      <c r="IYB228" s="12"/>
      <c r="IYC228" s="12"/>
      <c r="IYD228" s="12"/>
      <c r="IYE228" s="12"/>
      <c r="IYF228" s="12"/>
      <c r="IYG228" s="12"/>
      <c r="IYH228" s="12"/>
      <c r="IYI228" s="12"/>
      <c r="IYJ228" s="12"/>
      <c r="IYK228" s="12"/>
      <c r="IYL228" s="12"/>
      <c r="IYM228" s="12"/>
      <c r="IYN228" s="12"/>
      <c r="IYO228" s="12"/>
      <c r="IYP228" s="12"/>
      <c r="IYQ228" s="12"/>
      <c r="IYR228" s="12"/>
      <c r="IYS228" s="12"/>
      <c r="IYT228" s="12"/>
      <c r="IYU228" s="12"/>
      <c r="IYV228" s="12"/>
      <c r="IYW228" s="12"/>
      <c r="IYX228" s="12"/>
      <c r="IYY228" s="12"/>
      <c r="IYZ228" s="12"/>
      <c r="IZA228" s="12"/>
      <c r="IZB228" s="12"/>
      <c r="IZC228" s="12"/>
      <c r="IZD228" s="12"/>
      <c r="IZE228" s="12"/>
      <c r="IZF228" s="12"/>
      <c r="IZG228" s="12"/>
      <c r="IZH228" s="12"/>
      <c r="IZI228" s="12"/>
      <c r="IZJ228" s="12"/>
      <c r="IZK228" s="12"/>
      <c r="IZL228" s="12"/>
      <c r="IZM228" s="12"/>
      <c r="IZN228" s="12"/>
      <c r="IZO228" s="12"/>
      <c r="IZP228" s="12"/>
      <c r="IZQ228" s="12"/>
      <c r="IZR228" s="12"/>
      <c r="IZS228" s="12"/>
      <c r="IZT228" s="12"/>
      <c r="IZU228" s="12"/>
      <c r="IZV228" s="12"/>
      <c r="IZW228" s="12"/>
      <c r="IZX228" s="12"/>
      <c r="IZY228" s="12"/>
      <c r="IZZ228" s="12"/>
      <c r="JAA228" s="12"/>
      <c r="JAB228" s="12"/>
      <c r="JAC228" s="12"/>
      <c r="JAD228" s="12"/>
      <c r="JAE228" s="12"/>
      <c r="JAF228" s="12"/>
      <c r="JAG228" s="12"/>
      <c r="JAH228" s="12"/>
      <c r="JAI228" s="12"/>
      <c r="JAJ228" s="12"/>
      <c r="JAK228" s="12"/>
      <c r="JAL228" s="12"/>
      <c r="JAM228" s="12"/>
      <c r="JAN228" s="12"/>
      <c r="JAO228" s="12"/>
      <c r="JAP228" s="12"/>
      <c r="JAQ228" s="12"/>
      <c r="JAR228" s="12"/>
      <c r="JAS228" s="12"/>
      <c r="JAT228" s="12"/>
      <c r="JAU228" s="12"/>
      <c r="JAV228" s="12"/>
      <c r="JAW228" s="12"/>
      <c r="JAX228" s="12"/>
      <c r="JAY228" s="12"/>
      <c r="JAZ228" s="12"/>
      <c r="JBA228" s="12"/>
      <c r="JBB228" s="12"/>
      <c r="JBC228" s="12"/>
      <c r="JBD228" s="12"/>
      <c r="JBE228" s="12"/>
      <c r="JBF228" s="12"/>
      <c r="JBG228" s="12"/>
      <c r="JBH228" s="12"/>
      <c r="JBI228" s="12"/>
      <c r="JBJ228" s="12"/>
      <c r="JBK228" s="12"/>
      <c r="JBL228" s="12"/>
      <c r="JBM228" s="12"/>
      <c r="JBN228" s="12"/>
      <c r="JBO228" s="12"/>
      <c r="JBP228" s="12"/>
      <c r="JBQ228" s="12"/>
      <c r="JBR228" s="12"/>
      <c r="JBS228" s="12"/>
      <c r="JBT228" s="12"/>
      <c r="JBU228" s="12"/>
      <c r="JBV228" s="12"/>
      <c r="JBW228" s="12"/>
      <c r="JBX228" s="12"/>
      <c r="JBY228" s="12"/>
      <c r="JBZ228" s="12"/>
      <c r="JCA228" s="12"/>
      <c r="JCB228" s="12"/>
      <c r="JCC228" s="12"/>
      <c r="JCD228" s="12"/>
      <c r="JCE228" s="12"/>
      <c r="JCF228" s="12"/>
      <c r="JCG228" s="12"/>
      <c r="JCH228" s="12"/>
      <c r="JCI228" s="12"/>
      <c r="JCJ228" s="12"/>
      <c r="JCK228" s="12"/>
      <c r="JCL228" s="12"/>
      <c r="JCM228" s="12"/>
      <c r="JCN228" s="12"/>
      <c r="JCO228" s="12"/>
      <c r="JCP228" s="12"/>
      <c r="JCQ228" s="12"/>
      <c r="JCR228" s="12"/>
      <c r="JCS228" s="12"/>
      <c r="JCT228" s="12"/>
      <c r="JCU228" s="12"/>
      <c r="JCV228" s="12"/>
      <c r="JCW228" s="12"/>
      <c r="JCX228" s="12"/>
      <c r="JCY228" s="12"/>
      <c r="JCZ228" s="12"/>
      <c r="JDA228" s="12"/>
      <c r="JDB228" s="12"/>
      <c r="JDC228" s="12"/>
      <c r="JDD228" s="12"/>
      <c r="JDE228" s="12"/>
      <c r="JDF228" s="12"/>
      <c r="JDG228" s="12"/>
      <c r="JDH228" s="12"/>
      <c r="JDI228" s="12"/>
      <c r="JDJ228" s="12"/>
      <c r="JDK228" s="12"/>
      <c r="JDL228" s="12"/>
      <c r="JDM228" s="12"/>
      <c r="JDN228" s="12"/>
      <c r="JDO228" s="12"/>
      <c r="JDP228" s="12"/>
      <c r="JDQ228" s="12"/>
      <c r="JDR228" s="12"/>
      <c r="JDS228" s="12"/>
      <c r="JDT228" s="12"/>
      <c r="JDU228" s="12"/>
      <c r="JDV228" s="12"/>
      <c r="JDW228" s="12"/>
      <c r="JDX228" s="12"/>
      <c r="JDY228" s="12"/>
      <c r="JDZ228" s="12"/>
      <c r="JEA228" s="12"/>
      <c r="JEB228" s="12"/>
      <c r="JEC228" s="12"/>
      <c r="JED228" s="12"/>
      <c r="JEE228" s="12"/>
      <c r="JEF228" s="12"/>
      <c r="JEG228" s="12"/>
      <c r="JEH228" s="12"/>
      <c r="JEI228" s="12"/>
      <c r="JEJ228" s="12"/>
      <c r="JEK228" s="12"/>
      <c r="JEL228" s="12"/>
      <c r="JEM228" s="12"/>
      <c r="JEN228" s="12"/>
      <c r="JEO228" s="12"/>
      <c r="JEP228" s="12"/>
      <c r="JEQ228" s="12"/>
      <c r="JER228" s="12"/>
      <c r="JES228" s="12"/>
      <c r="JET228" s="12"/>
      <c r="JEU228" s="12"/>
      <c r="JEV228" s="12"/>
      <c r="JEW228" s="12"/>
      <c r="JEX228" s="12"/>
      <c r="JEY228" s="12"/>
      <c r="JEZ228" s="12"/>
      <c r="JFA228" s="12"/>
      <c r="JFB228" s="12"/>
      <c r="JFC228" s="12"/>
      <c r="JFD228" s="12"/>
      <c r="JFE228" s="12"/>
      <c r="JFF228" s="12"/>
      <c r="JFG228" s="12"/>
      <c r="JFH228" s="12"/>
      <c r="JFI228" s="12"/>
      <c r="JFJ228" s="12"/>
      <c r="JFK228" s="12"/>
      <c r="JFL228" s="12"/>
      <c r="JFM228" s="12"/>
      <c r="JFN228" s="12"/>
      <c r="JFO228" s="12"/>
      <c r="JFP228" s="12"/>
      <c r="JFQ228" s="12"/>
      <c r="JFR228" s="12"/>
      <c r="JFS228" s="12"/>
      <c r="JFT228" s="12"/>
      <c r="JFU228" s="12"/>
      <c r="JFV228" s="12"/>
      <c r="JFW228" s="12"/>
      <c r="JFX228" s="12"/>
      <c r="JFY228" s="12"/>
      <c r="JFZ228" s="12"/>
      <c r="JGA228" s="12"/>
      <c r="JGB228" s="12"/>
      <c r="JGC228" s="12"/>
      <c r="JGD228" s="12"/>
      <c r="JGE228" s="12"/>
      <c r="JGF228" s="12"/>
      <c r="JGG228" s="12"/>
      <c r="JGH228" s="12"/>
      <c r="JGI228" s="12"/>
      <c r="JGJ228" s="12"/>
      <c r="JGK228" s="12"/>
      <c r="JGL228" s="12"/>
      <c r="JGM228" s="12"/>
      <c r="JGN228" s="12"/>
      <c r="JGO228" s="12"/>
      <c r="JGP228" s="12"/>
      <c r="JGQ228" s="12"/>
      <c r="JGR228" s="12"/>
      <c r="JGS228" s="12"/>
      <c r="JGT228" s="12"/>
      <c r="JGU228" s="12"/>
      <c r="JGV228" s="12"/>
      <c r="JGW228" s="12"/>
      <c r="JGX228" s="12"/>
      <c r="JGY228" s="12"/>
      <c r="JGZ228" s="12"/>
      <c r="JHA228" s="12"/>
      <c r="JHB228" s="12"/>
      <c r="JHC228" s="12"/>
      <c r="JHD228" s="12"/>
      <c r="JHE228" s="12"/>
      <c r="JHF228" s="12"/>
      <c r="JHG228" s="12"/>
      <c r="JHH228" s="12"/>
      <c r="JHI228" s="12"/>
      <c r="JHJ228" s="12"/>
      <c r="JHK228" s="12"/>
      <c r="JHL228" s="12"/>
      <c r="JHM228" s="12"/>
      <c r="JHN228" s="12"/>
      <c r="JHO228" s="12"/>
      <c r="JHP228" s="12"/>
      <c r="JHQ228" s="12"/>
      <c r="JHR228" s="12"/>
      <c r="JHS228" s="12"/>
      <c r="JHT228" s="12"/>
      <c r="JHU228" s="12"/>
      <c r="JHV228" s="12"/>
      <c r="JHW228" s="12"/>
      <c r="JHX228" s="12"/>
      <c r="JHY228" s="12"/>
      <c r="JHZ228" s="12"/>
      <c r="JIA228" s="12"/>
      <c r="JIB228" s="12"/>
      <c r="JIC228" s="12"/>
      <c r="JID228" s="12"/>
      <c r="JIE228" s="12"/>
      <c r="JIF228" s="12"/>
      <c r="JIG228" s="12"/>
      <c r="JIH228" s="12"/>
      <c r="JII228" s="12"/>
      <c r="JIJ228" s="12"/>
      <c r="JIK228" s="12"/>
      <c r="JIL228" s="12"/>
      <c r="JIM228" s="12"/>
      <c r="JIN228" s="12"/>
      <c r="JIO228" s="12"/>
      <c r="JIP228" s="12"/>
      <c r="JIQ228" s="12"/>
      <c r="JIR228" s="12"/>
      <c r="JIS228" s="12"/>
      <c r="JIT228" s="12"/>
      <c r="JIU228" s="12"/>
      <c r="JIV228" s="12"/>
      <c r="JIW228" s="12"/>
      <c r="JIX228" s="12"/>
      <c r="JIY228" s="12"/>
      <c r="JIZ228" s="12"/>
      <c r="JJA228" s="12"/>
      <c r="JJB228" s="12"/>
      <c r="JJC228" s="12"/>
      <c r="JJD228" s="12"/>
      <c r="JJE228" s="12"/>
      <c r="JJF228" s="12"/>
      <c r="JJG228" s="12"/>
      <c r="JJH228" s="12"/>
      <c r="JJI228" s="12"/>
      <c r="JJJ228" s="12"/>
      <c r="JJK228" s="12"/>
      <c r="JJL228" s="12"/>
      <c r="JJM228" s="12"/>
      <c r="JJN228" s="12"/>
      <c r="JJO228" s="12"/>
      <c r="JJP228" s="12"/>
      <c r="JJQ228" s="12"/>
      <c r="JJR228" s="12"/>
      <c r="JJS228" s="12"/>
      <c r="JJT228" s="12"/>
      <c r="JJU228" s="12"/>
      <c r="JJV228" s="12"/>
      <c r="JJW228" s="12"/>
      <c r="JJX228" s="12"/>
      <c r="JJY228" s="12"/>
      <c r="JJZ228" s="12"/>
      <c r="JKA228" s="12"/>
      <c r="JKB228" s="12"/>
      <c r="JKC228" s="12"/>
      <c r="JKD228" s="12"/>
      <c r="JKE228" s="12"/>
      <c r="JKF228" s="12"/>
      <c r="JKG228" s="12"/>
      <c r="JKH228" s="12"/>
      <c r="JKI228" s="12"/>
      <c r="JKJ228" s="12"/>
      <c r="JKK228" s="12"/>
      <c r="JKL228" s="12"/>
      <c r="JKM228" s="12"/>
      <c r="JKN228" s="12"/>
      <c r="JKO228" s="12"/>
      <c r="JKP228" s="12"/>
      <c r="JKQ228" s="12"/>
      <c r="JKR228" s="12"/>
      <c r="JKS228" s="12"/>
      <c r="JKT228" s="12"/>
      <c r="JKU228" s="12"/>
      <c r="JKV228" s="12"/>
      <c r="JKW228" s="12"/>
      <c r="JKX228" s="12"/>
      <c r="JKY228" s="12"/>
      <c r="JKZ228" s="12"/>
      <c r="JLA228" s="12"/>
      <c r="JLB228" s="12"/>
      <c r="JLC228" s="12"/>
      <c r="JLD228" s="12"/>
      <c r="JLE228" s="12"/>
      <c r="JLF228" s="12"/>
      <c r="JLG228" s="12"/>
      <c r="JLH228" s="12"/>
      <c r="JLI228" s="12"/>
      <c r="JLJ228" s="12"/>
      <c r="JLK228" s="12"/>
      <c r="JLL228" s="12"/>
      <c r="JLM228" s="12"/>
      <c r="JLN228" s="12"/>
      <c r="JLO228" s="12"/>
      <c r="JLP228" s="12"/>
      <c r="JLQ228" s="12"/>
      <c r="JLR228" s="12"/>
      <c r="JLS228" s="12"/>
      <c r="JLT228" s="12"/>
      <c r="JLU228" s="12"/>
      <c r="JLV228" s="12"/>
      <c r="JLW228" s="12"/>
      <c r="JLX228" s="12"/>
      <c r="JLY228" s="12"/>
      <c r="JLZ228" s="12"/>
      <c r="JMA228" s="12"/>
      <c r="JMB228" s="12"/>
      <c r="JMC228" s="12"/>
      <c r="JMD228" s="12"/>
      <c r="JME228" s="12"/>
      <c r="JMF228" s="12"/>
      <c r="JMG228" s="12"/>
      <c r="JMH228" s="12"/>
      <c r="JMI228" s="12"/>
      <c r="JMJ228" s="12"/>
      <c r="JMK228" s="12"/>
      <c r="JML228" s="12"/>
      <c r="JMM228" s="12"/>
      <c r="JMN228" s="12"/>
      <c r="JMO228" s="12"/>
      <c r="JMP228" s="12"/>
      <c r="JMQ228" s="12"/>
      <c r="JMR228" s="12"/>
      <c r="JMS228" s="12"/>
      <c r="JMT228" s="12"/>
      <c r="JMU228" s="12"/>
      <c r="JMV228" s="12"/>
      <c r="JMW228" s="12"/>
      <c r="JMX228" s="12"/>
      <c r="JMY228" s="12"/>
      <c r="JMZ228" s="12"/>
      <c r="JNA228" s="12"/>
      <c r="JNB228" s="12"/>
      <c r="JNC228" s="12"/>
      <c r="JND228" s="12"/>
      <c r="JNE228" s="12"/>
      <c r="JNF228" s="12"/>
      <c r="JNG228" s="12"/>
      <c r="JNH228" s="12"/>
      <c r="JNI228" s="12"/>
      <c r="JNJ228" s="12"/>
      <c r="JNK228" s="12"/>
      <c r="JNL228" s="12"/>
      <c r="JNM228" s="12"/>
      <c r="JNN228" s="12"/>
      <c r="JNO228" s="12"/>
      <c r="JNP228" s="12"/>
      <c r="JNQ228" s="12"/>
      <c r="JNR228" s="12"/>
      <c r="JNS228" s="12"/>
      <c r="JNT228" s="12"/>
      <c r="JNU228" s="12"/>
      <c r="JNV228" s="12"/>
      <c r="JNW228" s="12"/>
      <c r="JNX228" s="12"/>
      <c r="JNY228" s="12"/>
      <c r="JNZ228" s="12"/>
      <c r="JOA228" s="12"/>
      <c r="JOB228" s="12"/>
      <c r="JOC228" s="12"/>
      <c r="JOD228" s="12"/>
      <c r="JOE228" s="12"/>
      <c r="JOF228" s="12"/>
      <c r="JOG228" s="12"/>
      <c r="JOH228" s="12"/>
      <c r="JOI228" s="12"/>
      <c r="JOJ228" s="12"/>
      <c r="JOK228" s="12"/>
      <c r="JOL228" s="12"/>
      <c r="JOM228" s="12"/>
      <c r="JON228" s="12"/>
      <c r="JOO228" s="12"/>
      <c r="JOP228" s="12"/>
      <c r="JOQ228" s="12"/>
      <c r="JOR228" s="12"/>
      <c r="JOS228" s="12"/>
      <c r="JOT228" s="12"/>
      <c r="JOU228" s="12"/>
      <c r="JOV228" s="12"/>
      <c r="JOW228" s="12"/>
      <c r="JOX228" s="12"/>
      <c r="JOY228" s="12"/>
      <c r="JOZ228" s="12"/>
      <c r="JPA228" s="12"/>
      <c r="JPB228" s="12"/>
      <c r="JPC228" s="12"/>
      <c r="JPD228" s="12"/>
      <c r="JPE228" s="12"/>
      <c r="JPF228" s="12"/>
      <c r="JPG228" s="12"/>
      <c r="JPH228" s="12"/>
      <c r="JPI228" s="12"/>
      <c r="JPJ228" s="12"/>
      <c r="JPK228" s="12"/>
      <c r="JPL228" s="12"/>
      <c r="JPM228" s="12"/>
      <c r="JPN228" s="12"/>
      <c r="JPO228" s="12"/>
      <c r="JPP228" s="12"/>
      <c r="JPQ228" s="12"/>
      <c r="JPR228" s="12"/>
      <c r="JPS228" s="12"/>
      <c r="JPT228" s="12"/>
      <c r="JPU228" s="12"/>
      <c r="JPV228" s="12"/>
      <c r="JPW228" s="12"/>
      <c r="JPX228" s="12"/>
      <c r="JPY228" s="12"/>
      <c r="JPZ228" s="12"/>
      <c r="JQA228" s="12"/>
      <c r="JQB228" s="12"/>
      <c r="JQC228" s="12"/>
      <c r="JQD228" s="12"/>
      <c r="JQE228" s="12"/>
      <c r="JQF228" s="12"/>
      <c r="JQG228" s="12"/>
      <c r="JQH228" s="12"/>
      <c r="JQI228" s="12"/>
      <c r="JQJ228" s="12"/>
      <c r="JQK228" s="12"/>
      <c r="JQL228" s="12"/>
      <c r="JQM228" s="12"/>
      <c r="JQN228" s="12"/>
      <c r="JQO228" s="12"/>
      <c r="JQP228" s="12"/>
      <c r="JQQ228" s="12"/>
      <c r="JQR228" s="12"/>
      <c r="JQS228" s="12"/>
      <c r="JQT228" s="12"/>
      <c r="JQU228" s="12"/>
      <c r="JQV228" s="12"/>
      <c r="JQW228" s="12"/>
      <c r="JQX228" s="12"/>
      <c r="JQY228" s="12"/>
      <c r="JQZ228" s="12"/>
      <c r="JRA228" s="12"/>
      <c r="JRB228" s="12"/>
      <c r="JRC228" s="12"/>
      <c r="JRD228" s="12"/>
      <c r="JRE228" s="12"/>
      <c r="JRF228" s="12"/>
      <c r="JRG228" s="12"/>
      <c r="JRH228" s="12"/>
      <c r="JRI228" s="12"/>
      <c r="JRJ228" s="12"/>
      <c r="JRK228" s="12"/>
      <c r="JRL228" s="12"/>
      <c r="JRM228" s="12"/>
      <c r="JRN228" s="12"/>
      <c r="JRO228" s="12"/>
      <c r="JRP228" s="12"/>
      <c r="JRQ228" s="12"/>
      <c r="JRR228" s="12"/>
      <c r="JRS228" s="12"/>
      <c r="JRT228" s="12"/>
      <c r="JRU228" s="12"/>
      <c r="JRV228" s="12"/>
      <c r="JRW228" s="12"/>
      <c r="JRX228" s="12"/>
      <c r="JRY228" s="12"/>
      <c r="JRZ228" s="12"/>
      <c r="JSA228" s="12"/>
      <c r="JSB228" s="12"/>
      <c r="JSC228" s="12"/>
      <c r="JSD228" s="12"/>
      <c r="JSE228" s="12"/>
      <c r="JSF228" s="12"/>
      <c r="JSG228" s="12"/>
      <c r="JSH228" s="12"/>
      <c r="JSI228" s="12"/>
      <c r="JSJ228" s="12"/>
      <c r="JSK228" s="12"/>
      <c r="JSL228" s="12"/>
      <c r="JSM228" s="12"/>
      <c r="JSN228" s="12"/>
      <c r="JSO228" s="12"/>
      <c r="JSP228" s="12"/>
      <c r="JSQ228" s="12"/>
      <c r="JSR228" s="12"/>
      <c r="JSS228" s="12"/>
      <c r="JST228" s="12"/>
      <c r="JSU228" s="12"/>
      <c r="JSV228" s="12"/>
      <c r="JSW228" s="12"/>
      <c r="JSX228" s="12"/>
      <c r="JSY228" s="12"/>
      <c r="JSZ228" s="12"/>
      <c r="JTA228" s="12"/>
      <c r="JTB228" s="12"/>
      <c r="JTC228" s="12"/>
      <c r="JTD228" s="12"/>
      <c r="JTE228" s="12"/>
      <c r="JTF228" s="12"/>
      <c r="JTG228" s="12"/>
      <c r="JTH228" s="12"/>
      <c r="JTI228" s="12"/>
      <c r="JTJ228" s="12"/>
      <c r="JTK228" s="12"/>
      <c r="JTL228" s="12"/>
      <c r="JTM228" s="12"/>
      <c r="JTN228" s="12"/>
      <c r="JTO228" s="12"/>
      <c r="JTP228" s="12"/>
      <c r="JTQ228" s="12"/>
      <c r="JTR228" s="12"/>
      <c r="JTS228" s="12"/>
      <c r="JTT228" s="12"/>
      <c r="JTU228" s="12"/>
      <c r="JTV228" s="12"/>
      <c r="JTW228" s="12"/>
      <c r="JTX228" s="12"/>
      <c r="JTY228" s="12"/>
      <c r="JTZ228" s="12"/>
      <c r="JUA228" s="12"/>
      <c r="JUB228" s="12"/>
      <c r="JUC228" s="12"/>
      <c r="JUD228" s="12"/>
      <c r="JUE228" s="12"/>
      <c r="JUF228" s="12"/>
      <c r="JUG228" s="12"/>
      <c r="JUH228" s="12"/>
      <c r="JUI228" s="12"/>
      <c r="JUJ228" s="12"/>
      <c r="JUK228" s="12"/>
      <c r="JUL228" s="12"/>
      <c r="JUM228" s="12"/>
      <c r="JUN228" s="12"/>
      <c r="JUO228" s="12"/>
      <c r="JUP228" s="12"/>
      <c r="JUQ228" s="12"/>
      <c r="JUR228" s="12"/>
      <c r="JUS228" s="12"/>
      <c r="JUT228" s="12"/>
      <c r="JUU228" s="12"/>
      <c r="JUV228" s="12"/>
      <c r="JUW228" s="12"/>
      <c r="JUX228" s="12"/>
      <c r="JUY228" s="12"/>
      <c r="JUZ228" s="12"/>
      <c r="JVA228" s="12"/>
      <c r="JVB228" s="12"/>
      <c r="JVC228" s="12"/>
      <c r="JVD228" s="12"/>
      <c r="JVE228" s="12"/>
      <c r="JVF228" s="12"/>
      <c r="JVG228" s="12"/>
      <c r="JVH228" s="12"/>
      <c r="JVI228" s="12"/>
      <c r="JVJ228" s="12"/>
      <c r="JVK228" s="12"/>
      <c r="JVL228" s="12"/>
      <c r="JVM228" s="12"/>
      <c r="JVN228" s="12"/>
      <c r="JVO228" s="12"/>
      <c r="JVP228" s="12"/>
      <c r="JVQ228" s="12"/>
      <c r="JVR228" s="12"/>
      <c r="JVS228" s="12"/>
      <c r="JVT228" s="12"/>
      <c r="JVU228" s="12"/>
      <c r="JVV228" s="12"/>
      <c r="JVW228" s="12"/>
      <c r="JVX228" s="12"/>
      <c r="JVY228" s="12"/>
      <c r="JVZ228" s="12"/>
      <c r="JWA228" s="12"/>
      <c r="JWB228" s="12"/>
      <c r="JWC228" s="12"/>
      <c r="JWD228" s="12"/>
      <c r="JWE228" s="12"/>
      <c r="JWF228" s="12"/>
      <c r="JWG228" s="12"/>
      <c r="JWH228" s="12"/>
      <c r="JWI228" s="12"/>
      <c r="JWJ228" s="12"/>
      <c r="JWK228" s="12"/>
      <c r="JWL228" s="12"/>
      <c r="JWM228" s="12"/>
      <c r="JWN228" s="12"/>
      <c r="JWO228" s="12"/>
      <c r="JWP228" s="12"/>
      <c r="JWQ228" s="12"/>
      <c r="JWR228" s="12"/>
      <c r="JWS228" s="12"/>
      <c r="JWT228" s="12"/>
      <c r="JWU228" s="12"/>
      <c r="JWV228" s="12"/>
      <c r="JWW228" s="12"/>
      <c r="JWX228" s="12"/>
      <c r="JWY228" s="12"/>
      <c r="JWZ228" s="12"/>
      <c r="JXA228" s="12"/>
      <c r="JXB228" s="12"/>
      <c r="JXC228" s="12"/>
      <c r="JXD228" s="12"/>
      <c r="JXE228" s="12"/>
      <c r="JXF228" s="12"/>
      <c r="JXG228" s="12"/>
      <c r="JXH228" s="12"/>
      <c r="JXI228" s="12"/>
      <c r="JXJ228" s="12"/>
      <c r="JXK228" s="12"/>
      <c r="JXL228" s="12"/>
      <c r="JXM228" s="12"/>
      <c r="JXN228" s="12"/>
      <c r="JXO228" s="12"/>
      <c r="JXP228" s="12"/>
      <c r="JXQ228" s="12"/>
      <c r="JXR228" s="12"/>
      <c r="JXS228" s="12"/>
      <c r="JXT228" s="12"/>
      <c r="JXU228" s="12"/>
      <c r="JXV228" s="12"/>
      <c r="JXW228" s="12"/>
      <c r="JXX228" s="12"/>
      <c r="JXY228" s="12"/>
      <c r="JXZ228" s="12"/>
      <c r="JYA228" s="12"/>
      <c r="JYB228" s="12"/>
      <c r="JYC228" s="12"/>
      <c r="JYD228" s="12"/>
      <c r="JYE228" s="12"/>
      <c r="JYF228" s="12"/>
      <c r="JYG228" s="12"/>
      <c r="JYH228" s="12"/>
      <c r="JYI228" s="12"/>
      <c r="JYJ228" s="12"/>
      <c r="JYK228" s="12"/>
      <c r="JYL228" s="12"/>
      <c r="JYM228" s="12"/>
      <c r="JYN228" s="12"/>
      <c r="JYO228" s="12"/>
      <c r="JYP228" s="12"/>
      <c r="JYQ228" s="12"/>
      <c r="JYR228" s="12"/>
      <c r="JYS228" s="12"/>
      <c r="JYT228" s="12"/>
      <c r="JYU228" s="12"/>
      <c r="JYV228" s="12"/>
      <c r="JYW228" s="12"/>
      <c r="JYX228" s="12"/>
      <c r="JYY228" s="12"/>
      <c r="JYZ228" s="12"/>
      <c r="JZA228" s="12"/>
      <c r="JZB228" s="12"/>
      <c r="JZC228" s="12"/>
      <c r="JZD228" s="12"/>
      <c r="JZE228" s="12"/>
      <c r="JZF228" s="12"/>
      <c r="JZG228" s="12"/>
      <c r="JZH228" s="12"/>
      <c r="JZI228" s="12"/>
      <c r="JZJ228" s="12"/>
      <c r="JZK228" s="12"/>
      <c r="JZL228" s="12"/>
      <c r="JZM228" s="12"/>
      <c r="JZN228" s="12"/>
      <c r="JZO228" s="12"/>
      <c r="JZP228" s="12"/>
      <c r="JZQ228" s="12"/>
      <c r="JZR228" s="12"/>
      <c r="JZS228" s="12"/>
      <c r="JZT228" s="12"/>
      <c r="JZU228" s="12"/>
      <c r="JZV228" s="12"/>
      <c r="JZW228" s="12"/>
      <c r="JZX228" s="12"/>
      <c r="JZY228" s="12"/>
      <c r="JZZ228" s="12"/>
      <c r="KAA228" s="12"/>
      <c r="KAB228" s="12"/>
      <c r="KAC228" s="12"/>
      <c r="KAD228" s="12"/>
      <c r="KAE228" s="12"/>
      <c r="KAF228" s="12"/>
      <c r="KAG228" s="12"/>
      <c r="KAH228" s="12"/>
      <c r="KAI228" s="12"/>
      <c r="KAJ228" s="12"/>
      <c r="KAK228" s="12"/>
      <c r="KAL228" s="12"/>
      <c r="KAM228" s="12"/>
      <c r="KAN228" s="12"/>
      <c r="KAO228" s="12"/>
      <c r="KAP228" s="12"/>
      <c r="KAQ228" s="12"/>
      <c r="KAR228" s="12"/>
      <c r="KAS228" s="12"/>
      <c r="KAT228" s="12"/>
      <c r="KAU228" s="12"/>
      <c r="KAV228" s="12"/>
      <c r="KAW228" s="12"/>
      <c r="KAX228" s="12"/>
      <c r="KAY228" s="12"/>
      <c r="KAZ228" s="12"/>
      <c r="KBA228" s="12"/>
      <c r="KBB228" s="12"/>
      <c r="KBC228" s="12"/>
      <c r="KBD228" s="12"/>
      <c r="KBE228" s="12"/>
      <c r="KBF228" s="12"/>
      <c r="KBG228" s="12"/>
      <c r="KBH228" s="12"/>
      <c r="KBI228" s="12"/>
      <c r="KBJ228" s="12"/>
      <c r="KBK228" s="12"/>
      <c r="KBL228" s="12"/>
      <c r="KBM228" s="12"/>
      <c r="KBN228" s="12"/>
      <c r="KBO228" s="12"/>
      <c r="KBP228" s="12"/>
      <c r="KBQ228" s="12"/>
      <c r="KBR228" s="12"/>
      <c r="KBS228" s="12"/>
      <c r="KBT228" s="12"/>
      <c r="KBU228" s="12"/>
      <c r="KBV228" s="12"/>
      <c r="KBW228" s="12"/>
      <c r="KBX228" s="12"/>
      <c r="KBY228" s="12"/>
      <c r="KBZ228" s="12"/>
      <c r="KCA228" s="12"/>
      <c r="KCB228" s="12"/>
      <c r="KCC228" s="12"/>
      <c r="KCD228" s="12"/>
      <c r="KCE228" s="12"/>
      <c r="KCF228" s="12"/>
      <c r="KCG228" s="12"/>
      <c r="KCH228" s="12"/>
      <c r="KCI228" s="12"/>
      <c r="KCJ228" s="12"/>
      <c r="KCK228" s="12"/>
      <c r="KCL228" s="12"/>
      <c r="KCM228" s="12"/>
      <c r="KCN228" s="12"/>
      <c r="KCO228" s="12"/>
      <c r="KCP228" s="12"/>
      <c r="KCQ228" s="12"/>
      <c r="KCR228" s="12"/>
      <c r="KCS228" s="12"/>
      <c r="KCT228" s="12"/>
      <c r="KCU228" s="12"/>
      <c r="KCV228" s="12"/>
      <c r="KCW228" s="12"/>
      <c r="KCX228" s="12"/>
      <c r="KCY228" s="12"/>
      <c r="KCZ228" s="12"/>
      <c r="KDA228" s="12"/>
      <c r="KDB228" s="12"/>
      <c r="KDC228" s="12"/>
      <c r="KDD228" s="12"/>
      <c r="KDE228" s="12"/>
      <c r="KDF228" s="12"/>
      <c r="KDG228" s="12"/>
      <c r="KDH228" s="12"/>
      <c r="KDI228" s="12"/>
      <c r="KDJ228" s="12"/>
      <c r="KDK228" s="12"/>
      <c r="KDL228" s="12"/>
      <c r="KDM228" s="12"/>
      <c r="KDN228" s="12"/>
      <c r="KDO228" s="12"/>
      <c r="KDP228" s="12"/>
      <c r="KDQ228" s="12"/>
      <c r="KDR228" s="12"/>
      <c r="KDS228" s="12"/>
      <c r="KDT228" s="12"/>
      <c r="KDU228" s="12"/>
      <c r="KDV228" s="12"/>
      <c r="KDW228" s="12"/>
      <c r="KDX228" s="12"/>
      <c r="KDY228" s="12"/>
      <c r="KDZ228" s="12"/>
      <c r="KEA228" s="12"/>
      <c r="KEB228" s="12"/>
      <c r="KEC228" s="12"/>
      <c r="KED228" s="12"/>
      <c r="KEE228" s="12"/>
      <c r="KEF228" s="12"/>
      <c r="KEG228" s="12"/>
      <c r="KEH228" s="12"/>
      <c r="KEI228" s="12"/>
      <c r="KEJ228" s="12"/>
      <c r="KEK228" s="12"/>
      <c r="KEL228" s="12"/>
      <c r="KEM228" s="12"/>
      <c r="KEN228" s="12"/>
      <c r="KEO228" s="12"/>
      <c r="KEP228" s="12"/>
      <c r="KEQ228" s="12"/>
      <c r="KER228" s="12"/>
      <c r="KES228" s="12"/>
      <c r="KET228" s="12"/>
      <c r="KEU228" s="12"/>
      <c r="KEV228" s="12"/>
      <c r="KEW228" s="12"/>
      <c r="KEX228" s="12"/>
      <c r="KEY228" s="12"/>
      <c r="KEZ228" s="12"/>
      <c r="KFA228" s="12"/>
      <c r="KFB228" s="12"/>
      <c r="KFC228" s="12"/>
      <c r="KFD228" s="12"/>
      <c r="KFE228" s="12"/>
      <c r="KFF228" s="12"/>
      <c r="KFG228" s="12"/>
      <c r="KFH228" s="12"/>
      <c r="KFI228" s="12"/>
      <c r="KFJ228" s="12"/>
      <c r="KFK228" s="12"/>
      <c r="KFL228" s="12"/>
      <c r="KFM228" s="12"/>
      <c r="KFN228" s="12"/>
      <c r="KFO228" s="12"/>
      <c r="KFP228" s="12"/>
      <c r="KFQ228" s="12"/>
      <c r="KFR228" s="12"/>
      <c r="KFS228" s="12"/>
      <c r="KFT228" s="12"/>
      <c r="KFU228" s="12"/>
      <c r="KFV228" s="12"/>
      <c r="KFW228" s="12"/>
      <c r="KFX228" s="12"/>
      <c r="KFY228" s="12"/>
      <c r="KFZ228" s="12"/>
      <c r="KGA228" s="12"/>
      <c r="KGB228" s="12"/>
      <c r="KGC228" s="12"/>
      <c r="KGD228" s="12"/>
      <c r="KGE228" s="12"/>
      <c r="KGF228" s="12"/>
      <c r="KGG228" s="12"/>
      <c r="KGH228" s="12"/>
      <c r="KGI228" s="12"/>
      <c r="KGJ228" s="12"/>
      <c r="KGK228" s="12"/>
      <c r="KGL228" s="12"/>
      <c r="KGM228" s="12"/>
      <c r="KGN228" s="12"/>
      <c r="KGO228" s="12"/>
      <c r="KGP228" s="12"/>
      <c r="KGQ228" s="12"/>
      <c r="KGR228" s="12"/>
      <c r="KGS228" s="12"/>
      <c r="KGT228" s="12"/>
      <c r="KGU228" s="12"/>
      <c r="KGV228" s="12"/>
      <c r="KGW228" s="12"/>
      <c r="KGX228" s="12"/>
      <c r="KGY228" s="12"/>
      <c r="KGZ228" s="12"/>
      <c r="KHA228" s="12"/>
      <c r="KHB228" s="12"/>
      <c r="KHC228" s="12"/>
      <c r="KHD228" s="12"/>
      <c r="KHE228" s="12"/>
      <c r="KHF228" s="12"/>
      <c r="KHG228" s="12"/>
      <c r="KHH228" s="12"/>
      <c r="KHI228" s="12"/>
      <c r="KHJ228" s="12"/>
      <c r="KHK228" s="12"/>
      <c r="KHL228" s="12"/>
      <c r="KHM228" s="12"/>
      <c r="KHN228" s="12"/>
      <c r="KHO228" s="12"/>
      <c r="KHP228" s="12"/>
      <c r="KHQ228" s="12"/>
      <c r="KHR228" s="12"/>
      <c r="KHS228" s="12"/>
      <c r="KHT228" s="12"/>
      <c r="KHU228" s="12"/>
      <c r="KHV228" s="12"/>
      <c r="KHW228" s="12"/>
      <c r="KHX228" s="12"/>
      <c r="KHY228" s="12"/>
      <c r="KHZ228" s="12"/>
      <c r="KIA228" s="12"/>
      <c r="KIB228" s="12"/>
      <c r="KIC228" s="12"/>
      <c r="KID228" s="12"/>
      <c r="KIE228" s="12"/>
      <c r="KIF228" s="12"/>
      <c r="KIG228" s="12"/>
      <c r="KIH228" s="12"/>
      <c r="KII228" s="12"/>
      <c r="KIJ228" s="12"/>
      <c r="KIK228" s="12"/>
      <c r="KIL228" s="12"/>
      <c r="KIM228" s="12"/>
      <c r="KIN228" s="12"/>
      <c r="KIO228" s="12"/>
      <c r="KIP228" s="12"/>
      <c r="KIQ228" s="12"/>
      <c r="KIR228" s="12"/>
      <c r="KIS228" s="12"/>
      <c r="KIT228" s="12"/>
      <c r="KIU228" s="12"/>
      <c r="KIV228" s="12"/>
      <c r="KIW228" s="12"/>
      <c r="KIX228" s="12"/>
      <c r="KIY228" s="12"/>
      <c r="KIZ228" s="12"/>
      <c r="KJA228" s="12"/>
      <c r="KJB228" s="12"/>
      <c r="KJC228" s="12"/>
      <c r="KJD228" s="12"/>
      <c r="KJE228" s="12"/>
      <c r="KJF228" s="12"/>
      <c r="KJG228" s="12"/>
      <c r="KJH228" s="12"/>
      <c r="KJI228" s="12"/>
      <c r="KJJ228" s="12"/>
      <c r="KJK228" s="12"/>
      <c r="KJL228" s="12"/>
      <c r="KJM228" s="12"/>
      <c r="KJN228" s="12"/>
      <c r="KJO228" s="12"/>
      <c r="KJP228" s="12"/>
      <c r="KJQ228" s="12"/>
      <c r="KJR228" s="12"/>
      <c r="KJS228" s="12"/>
      <c r="KJT228" s="12"/>
      <c r="KJU228" s="12"/>
      <c r="KJV228" s="12"/>
      <c r="KJW228" s="12"/>
      <c r="KJX228" s="12"/>
      <c r="KJY228" s="12"/>
      <c r="KJZ228" s="12"/>
      <c r="KKA228" s="12"/>
      <c r="KKB228" s="12"/>
      <c r="KKC228" s="12"/>
      <c r="KKD228" s="12"/>
      <c r="KKE228" s="12"/>
      <c r="KKF228" s="12"/>
      <c r="KKG228" s="12"/>
      <c r="KKH228" s="12"/>
      <c r="KKI228" s="12"/>
      <c r="KKJ228" s="12"/>
      <c r="KKK228" s="12"/>
      <c r="KKL228" s="12"/>
      <c r="KKM228" s="12"/>
      <c r="KKN228" s="12"/>
      <c r="KKO228" s="12"/>
      <c r="KKP228" s="12"/>
      <c r="KKQ228" s="12"/>
      <c r="KKR228" s="12"/>
      <c r="KKS228" s="12"/>
      <c r="KKT228" s="12"/>
      <c r="KKU228" s="12"/>
      <c r="KKV228" s="12"/>
      <c r="KKW228" s="12"/>
      <c r="KKX228" s="12"/>
      <c r="KKY228" s="12"/>
      <c r="KKZ228" s="12"/>
      <c r="KLA228" s="12"/>
      <c r="KLB228" s="12"/>
      <c r="KLC228" s="12"/>
      <c r="KLD228" s="12"/>
      <c r="KLE228" s="12"/>
      <c r="KLF228" s="12"/>
      <c r="KLG228" s="12"/>
      <c r="KLH228" s="12"/>
      <c r="KLI228" s="12"/>
      <c r="KLJ228" s="12"/>
      <c r="KLK228" s="12"/>
      <c r="KLL228" s="12"/>
      <c r="KLM228" s="12"/>
      <c r="KLN228" s="12"/>
      <c r="KLO228" s="12"/>
      <c r="KLP228" s="12"/>
      <c r="KLQ228" s="12"/>
      <c r="KLR228" s="12"/>
      <c r="KLS228" s="12"/>
      <c r="KLT228" s="12"/>
      <c r="KLU228" s="12"/>
      <c r="KLV228" s="12"/>
      <c r="KLW228" s="12"/>
      <c r="KLX228" s="12"/>
      <c r="KLY228" s="12"/>
      <c r="KLZ228" s="12"/>
      <c r="KMA228" s="12"/>
      <c r="KMB228" s="12"/>
      <c r="KMC228" s="12"/>
      <c r="KMD228" s="12"/>
      <c r="KME228" s="12"/>
      <c r="KMF228" s="12"/>
      <c r="KMG228" s="12"/>
      <c r="KMH228" s="12"/>
      <c r="KMI228" s="12"/>
      <c r="KMJ228" s="12"/>
      <c r="KMK228" s="12"/>
      <c r="KML228" s="12"/>
      <c r="KMM228" s="12"/>
      <c r="KMN228" s="12"/>
      <c r="KMO228" s="12"/>
      <c r="KMP228" s="12"/>
      <c r="KMQ228" s="12"/>
      <c r="KMR228" s="12"/>
      <c r="KMS228" s="12"/>
      <c r="KMT228" s="12"/>
      <c r="KMU228" s="12"/>
      <c r="KMV228" s="12"/>
      <c r="KMW228" s="12"/>
      <c r="KMX228" s="12"/>
      <c r="KMY228" s="12"/>
      <c r="KMZ228" s="12"/>
      <c r="KNA228" s="12"/>
      <c r="KNB228" s="12"/>
      <c r="KNC228" s="12"/>
      <c r="KND228" s="12"/>
      <c r="KNE228" s="12"/>
      <c r="KNF228" s="12"/>
      <c r="KNG228" s="12"/>
      <c r="KNH228" s="12"/>
      <c r="KNI228" s="12"/>
      <c r="KNJ228" s="12"/>
      <c r="KNK228" s="12"/>
      <c r="KNL228" s="12"/>
      <c r="KNM228" s="12"/>
      <c r="KNN228" s="12"/>
      <c r="KNO228" s="12"/>
      <c r="KNP228" s="12"/>
      <c r="KNQ228" s="12"/>
      <c r="KNR228" s="12"/>
      <c r="KNS228" s="12"/>
      <c r="KNT228" s="12"/>
      <c r="KNU228" s="12"/>
      <c r="KNV228" s="12"/>
      <c r="KNW228" s="12"/>
      <c r="KNX228" s="12"/>
      <c r="KNY228" s="12"/>
      <c r="KNZ228" s="12"/>
      <c r="KOA228" s="12"/>
      <c r="KOB228" s="12"/>
      <c r="KOC228" s="12"/>
      <c r="KOD228" s="12"/>
      <c r="KOE228" s="12"/>
      <c r="KOF228" s="12"/>
      <c r="KOG228" s="12"/>
      <c r="KOH228" s="12"/>
      <c r="KOI228" s="12"/>
      <c r="KOJ228" s="12"/>
      <c r="KOK228" s="12"/>
      <c r="KOL228" s="12"/>
      <c r="KOM228" s="12"/>
      <c r="KON228" s="12"/>
      <c r="KOO228" s="12"/>
      <c r="KOP228" s="12"/>
      <c r="KOQ228" s="12"/>
      <c r="KOR228" s="12"/>
      <c r="KOS228" s="12"/>
      <c r="KOT228" s="12"/>
      <c r="KOU228" s="12"/>
      <c r="KOV228" s="12"/>
      <c r="KOW228" s="12"/>
      <c r="KOX228" s="12"/>
      <c r="KOY228" s="12"/>
      <c r="KOZ228" s="12"/>
      <c r="KPA228" s="12"/>
      <c r="KPB228" s="12"/>
      <c r="KPC228" s="12"/>
      <c r="KPD228" s="12"/>
      <c r="KPE228" s="12"/>
      <c r="KPF228" s="12"/>
      <c r="KPG228" s="12"/>
      <c r="KPH228" s="12"/>
      <c r="KPI228" s="12"/>
      <c r="KPJ228" s="12"/>
      <c r="KPK228" s="12"/>
      <c r="KPL228" s="12"/>
      <c r="KPM228" s="12"/>
      <c r="KPN228" s="12"/>
      <c r="KPO228" s="12"/>
      <c r="KPP228" s="12"/>
      <c r="KPQ228" s="12"/>
      <c r="KPR228" s="12"/>
      <c r="KPS228" s="12"/>
      <c r="KPT228" s="12"/>
      <c r="KPU228" s="12"/>
      <c r="KPV228" s="12"/>
      <c r="KPW228" s="12"/>
      <c r="KPX228" s="12"/>
      <c r="KPY228" s="12"/>
      <c r="KPZ228" s="12"/>
      <c r="KQA228" s="12"/>
      <c r="KQB228" s="12"/>
      <c r="KQC228" s="12"/>
      <c r="KQD228" s="12"/>
      <c r="KQE228" s="12"/>
      <c r="KQF228" s="12"/>
      <c r="KQG228" s="12"/>
      <c r="KQH228" s="12"/>
      <c r="KQI228" s="12"/>
      <c r="KQJ228" s="12"/>
      <c r="KQK228" s="12"/>
      <c r="KQL228" s="12"/>
      <c r="KQM228" s="12"/>
      <c r="KQN228" s="12"/>
      <c r="KQO228" s="12"/>
      <c r="KQP228" s="12"/>
      <c r="KQQ228" s="12"/>
      <c r="KQR228" s="12"/>
      <c r="KQS228" s="12"/>
      <c r="KQT228" s="12"/>
      <c r="KQU228" s="12"/>
      <c r="KQV228" s="12"/>
      <c r="KQW228" s="12"/>
      <c r="KQX228" s="12"/>
      <c r="KQY228" s="12"/>
      <c r="KQZ228" s="12"/>
      <c r="KRA228" s="12"/>
      <c r="KRB228" s="12"/>
      <c r="KRC228" s="12"/>
      <c r="KRD228" s="12"/>
      <c r="KRE228" s="12"/>
      <c r="KRF228" s="12"/>
      <c r="KRG228" s="12"/>
      <c r="KRH228" s="12"/>
      <c r="KRI228" s="12"/>
      <c r="KRJ228" s="12"/>
      <c r="KRK228" s="12"/>
      <c r="KRL228" s="12"/>
      <c r="KRM228" s="12"/>
      <c r="KRN228" s="12"/>
      <c r="KRO228" s="12"/>
      <c r="KRP228" s="12"/>
      <c r="KRQ228" s="12"/>
      <c r="KRR228" s="12"/>
      <c r="KRS228" s="12"/>
      <c r="KRT228" s="12"/>
      <c r="KRU228" s="12"/>
      <c r="KRV228" s="12"/>
      <c r="KRW228" s="12"/>
      <c r="KRX228" s="12"/>
      <c r="KRY228" s="12"/>
      <c r="KRZ228" s="12"/>
      <c r="KSA228" s="12"/>
      <c r="KSB228" s="12"/>
      <c r="KSC228" s="12"/>
      <c r="KSD228" s="12"/>
      <c r="KSE228" s="12"/>
      <c r="KSF228" s="12"/>
      <c r="KSG228" s="12"/>
      <c r="KSH228" s="12"/>
      <c r="KSI228" s="12"/>
      <c r="KSJ228" s="12"/>
      <c r="KSK228" s="12"/>
      <c r="KSL228" s="12"/>
      <c r="KSM228" s="12"/>
      <c r="KSN228" s="12"/>
      <c r="KSO228" s="12"/>
      <c r="KSP228" s="12"/>
      <c r="KSQ228" s="12"/>
      <c r="KSR228" s="12"/>
      <c r="KSS228" s="12"/>
      <c r="KST228" s="12"/>
      <c r="KSU228" s="12"/>
      <c r="KSV228" s="12"/>
      <c r="KSW228" s="12"/>
      <c r="KSX228" s="12"/>
      <c r="KSY228" s="12"/>
      <c r="KSZ228" s="12"/>
      <c r="KTA228" s="12"/>
      <c r="KTB228" s="12"/>
      <c r="KTC228" s="12"/>
      <c r="KTD228" s="12"/>
      <c r="KTE228" s="12"/>
      <c r="KTF228" s="12"/>
      <c r="KTG228" s="12"/>
      <c r="KTH228" s="12"/>
      <c r="KTI228" s="12"/>
      <c r="KTJ228" s="12"/>
      <c r="KTK228" s="12"/>
      <c r="KTL228" s="12"/>
      <c r="KTM228" s="12"/>
      <c r="KTN228" s="12"/>
      <c r="KTO228" s="12"/>
      <c r="KTP228" s="12"/>
      <c r="KTQ228" s="12"/>
      <c r="KTR228" s="12"/>
      <c r="KTS228" s="12"/>
      <c r="KTT228" s="12"/>
      <c r="KTU228" s="12"/>
      <c r="KTV228" s="12"/>
      <c r="KTW228" s="12"/>
      <c r="KTX228" s="12"/>
      <c r="KTY228" s="12"/>
      <c r="KTZ228" s="12"/>
      <c r="KUA228" s="12"/>
      <c r="KUB228" s="12"/>
      <c r="KUC228" s="12"/>
      <c r="KUD228" s="12"/>
      <c r="KUE228" s="12"/>
      <c r="KUF228" s="12"/>
      <c r="KUG228" s="12"/>
      <c r="KUH228" s="12"/>
      <c r="KUI228" s="12"/>
      <c r="KUJ228" s="12"/>
      <c r="KUK228" s="12"/>
      <c r="KUL228" s="12"/>
      <c r="KUM228" s="12"/>
      <c r="KUN228" s="12"/>
      <c r="KUO228" s="12"/>
      <c r="KUP228" s="12"/>
      <c r="KUQ228" s="12"/>
      <c r="KUR228" s="12"/>
      <c r="KUS228" s="12"/>
      <c r="KUT228" s="12"/>
      <c r="KUU228" s="12"/>
      <c r="KUV228" s="12"/>
      <c r="KUW228" s="12"/>
      <c r="KUX228" s="12"/>
      <c r="KUY228" s="12"/>
      <c r="KUZ228" s="12"/>
      <c r="KVA228" s="12"/>
      <c r="KVB228" s="12"/>
      <c r="KVC228" s="12"/>
      <c r="KVD228" s="12"/>
      <c r="KVE228" s="12"/>
      <c r="KVF228" s="12"/>
      <c r="KVG228" s="12"/>
      <c r="KVH228" s="12"/>
      <c r="KVI228" s="12"/>
      <c r="KVJ228" s="12"/>
      <c r="KVK228" s="12"/>
      <c r="KVL228" s="12"/>
      <c r="KVM228" s="12"/>
      <c r="KVN228" s="12"/>
      <c r="KVO228" s="12"/>
      <c r="KVP228" s="12"/>
      <c r="KVQ228" s="12"/>
      <c r="KVR228" s="12"/>
      <c r="KVS228" s="12"/>
      <c r="KVT228" s="12"/>
      <c r="KVU228" s="12"/>
      <c r="KVV228" s="12"/>
      <c r="KVW228" s="12"/>
      <c r="KVX228" s="12"/>
      <c r="KVY228" s="12"/>
      <c r="KVZ228" s="12"/>
      <c r="KWA228" s="12"/>
      <c r="KWB228" s="12"/>
      <c r="KWC228" s="12"/>
      <c r="KWD228" s="12"/>
      <c r="KWE228" s="12"/>
      <c r="KWF228" s="12"/>
      <c r="KWG228" s="12"/>
      <c r="KWH228" s="12"/>
      <c r="KWI228" s="12"/>
      <c r="KWJ228" s="12"/>
      <c r="KWK228" s="12"/>
      <c r="KWL228" s="12"/>
      <c r="KWM228" s="12"/>
      <c r="KWN228" s="12"/>
      <c r="KWO228" s="12"/>
      <c r="KWP228" s="12"/>
      <c r="KWQ228" s="12"/>
      <c r="KWR228" s="12"/>
      <c r="KWS228" s="12"/>
      <c r="KWT228" s="12"/>
      <c r="KWU228" s="12"/>
      <c r="KWV228" s="12"/>
      <c r="KWW228" s="12"/>
      <c r="KWX228" s="12"/>
      <c r="KWY228" s="12"/>
      <c r="KWZ228" s="12"/>
      <c r="KXA228" s="12"/>
      <c r="KXB228" s="12"/>
      <c r="KXC228" s="12"/>
      <c r="KXD228" s="12"/>
      <c r="KXE228" s="12"/>
      <c r="KXF228" s="12"/>
      <c r="KXG228" s="12"/>
      <c r="KXH228" s="12"/>
      <c r="KXI228" s="12"/>
      <c r="KXJ228" s="12"/>
      <c r="KXK228" s="12"/>
      <c r="KXL228" s="12"/>
      <c r="KXM228" s="12"/>
      <c r="KXN228" s="12"/>
      <c r="KXO228" s="12"/>
      <c r="KXP228" s="12"/>
      <c r="KXQ228" s="12"/>
      <c r="KXR228" s="12"/>
      <c r="KXS228" s="12"/>
      <c r="KXT228" s="12"/>
      <c r="KXU228" s="12"/>
      <c r="KXV228" s="12"/>
      <c r="KXW228" s="12"/>
      <c r="KXX228" s="12"/>
      <c r="KXY228" s="12"/>
      <c r="KXZ228" s="12"/>
      <c r="KYA228" s="12"/>
      <c r="KYB228" s="12"/>
      <c r="KYC228" s="12"/>
      <c r="KYD228" s="12"/>
      <c r="KYE228" s="12"/>
      <c r="KYF228" s="12"/>
      <c r="KYG228" s="12"/>
      <c r="KYH228" s="12"/>
      <c r="KYI228" s="12"/>
      <c r="KYJ228" s="12"/>
      <c r="KYK228" s="12"/>
      <c r="KYL228" s="12"/>
      <c r="KYM228" s="12"/>
      <c r="KYN228" s="12"/>
      <c r="KYO228" s="12"/>
      <c r="KYP228" s="12"/>
      <c r="KYQ228" s="12"/>
      <c r="KYR228" s="12"/>
      <c r="KYS228" s="12"/>
      <c r="KYT228" s="12"/>
      <c r="KYU228" s="12"/>
      <c r="KYV228" s="12"/>
      <c r="KYW228" s="12"/>
      <c r="KYX228" s="12"/>
      <c r="KYY228" s="12"/>
      <c r="KYZ228" s="12"/>
      <c r="KZA228" s="12"/>
      <c r="KZB228" s="12"/>
      <c r="KZC228" s="12"/>
      <c r="KZD228" s="12"/>
      <c r="KZE228" s="12"/>
      <c r="KZF228" s="12"/>
      <c r="KZG228" s="12"/>
      <c r="KZH228" s="12"/>
      <c r="KZI228" s="12"/>
      <c r="KZJ228" s="12"/>
      <c r="KZK228" s="12"/>
      <c r="KZL228" s="12"/>
      <c r="KZM228" s="12"/>
      <c r="KZN228" s="12"/>
      <c r="KZO228" s="12"/>
      <c r="KZP228" s="12"/>
      <c r="KZQ228" s="12"/>
      <c r="KZR228" s="12"/>
      <c r="KZS228" s="12"/>
      <c r="KZT228" s="12"/>
      <c r="KZU228" s="12"/>
      <c r="KZV228" s="12"/>
      <c r="KZW228" s="12"/>
      <c r="KZX228" s="12"/>
      <c r="KZY228" s="12"/>
      <c r="KZZ228" s="12"/>
      <c r="LAA228" s="12"/>
      <c r="LAB228" s="12"/>
      <c r="LAC228" s="12"/>
      <c r="LAD228" s="12"/>
      <c r="LAE228" s="12"/>
      <c r="LAF228" s="12"/>
      <c r="LAG228" s="12"/>
      <c r="LAH228" s="12"/>
      <c r="LAI228" s="12"/>
      <c r="LAJ228" s="12"/>
      <c r="LAK228" s="12"/>
      <c r="LAL228" s="12"/>
      <c r="LAM228" s="12"/>
      <c r="LAN228" s="12"/>
      <c r="LAO228" s="12"/>
      <c r="LAP228" s="12"/>
      <c r="LAQ228" s="12"/>
      <c r="LAR228" s="12"/>
      <c r="LAS228" s="12"/>
      <c r="LAT228" s="12"/>
      <c r="LAU228" s="12"/>
      <c r="LAV228" s="12"/>
      <c r="LAW228" s="12"/>
      <c r="LAX228" s="12"/>
      <c r="LAY228" s="12"/>
      <c r="LAZ228" s="12"/>
      <c r="LBA228" s="12"/>
      <c r="LBB228" s="12"/>
      <c r="LBC228" s="12"/>
      <c r="LBD228" s="12"/>
      <c r="LBE228" s="12"/>
      <c r="LBF228" s="12"/>
      <c r="LBG228" s="12"/>
      <c r="LBH228" s="12"/>
      <c r="LBI228" s="12"/>
      <c r="LBJ228" s="12"/>
      <c r="LBK228" s="12"/>
      <c r="LBL228" s="12"/>
      <c r="LBM228" s="12"/>
      <c r="LBN228" s="12"/>
      <c r="LBO228" s="12"/>
      <c r="LBP228" s="12"/>
      <c r="LBQ228" s="12"/>
      <c r="LBR228" s="12"/>
      <c r="LBS228" s="12"/>
      <c r="LBT228" s="12"/>
      <c r="LBU228" s="12"/>
      <c r="LBV228" s="12"/>
      <c r="LBW228" s="12"/>
      <c r="LBX228" s="12"/>
      <c r="LBY228" s="12"/>
      <c r="LBZ228" s="12"/>
      <c r="LCA228" s="12"/>
      <c r="LCB228" s="12"/>
      <c r="LCC228" s="12"/>
      <c r="LCD228" s="12"/>
      <c r="LCE228" s="12"/>
      <c r="LCF228" s="12"/>
      <c r="LCG228" s="12"/>
      <c r="LCH228" s="12"/>
      <c r="LCI228" s="12"/>
      <c r="LCJ228" s="12"/>
      <c r="LCK228" s="12"/>
      <c r="LCL228" s="12"/>
      <c r="LCM228" s="12"/>
      <c r="LCN228" s="12"/>
      <c r="LCO228" s="12"/>
      <c r="LCP228" s="12"/>
      <c r="LCQ228" s="12"/>
      <c r="LCR228" s="12"/>
      <c r="LCS228" s="12"/>
      <c r="LCT228" s="12"/>
      <c r="LCU228" s="12"/>
      <c r="LCV228" s="12"/>
      <c r="LCW228" s="12"/>
      <c r="LCX228" s="12"/>
      <c r="LCY228" s="12"/>
      <c r="LCZ228" s="12"/>
      <c r="LDA228" s="12"/>
      <c r="LDB228" s="12"/>
      <c r="LDC228" s="12"/>
      <c r="LDD228" s="12"/>
      <c r="LDE228" s="12"/>
      <c r="LDF228" s="12"/>
      <c r="LDG228" s="12"/>
      <c r="LDH228" s="12"/>
      <c r="LDI228" s="12"/>
      <c r="LDJ228" s="12"/>
      <c r="LDK228" s="12"/>
      <c r="LDL228" s="12"/>
      <c r="LDM228" s="12"/>
      <c r="LDN228" s="12"/>
      <c r="LDO228" s="12"/>
      <c r="LDP228" s="12"/>
      <c r="LDQ228" s="12"/>
      <c r="LDR228" s="12"/>
      <c r="LDS228" s="12"/>
      <c r="LDT228" s="12"/>
      <c r="LDU228" s="12"/>
      <c r="LDV228" s="12"/>
      <c r="LDW228" s="12"/>
      <c r="LDX228" s="12"/>
      <c r="LDY228" s="12"/>
      <c r="LDZ228" s="12"/>
      <c r="LEA228" s="12"/>
      <c r="LEB228" s="12"/>
      <c r="LEC228" s="12"/>
      <c r="LED228" s="12"/>
      <c r="LEE228" s="12"/>
      <c r="LEF228" s="12"/>
      <c r="LEG228" s="12"/>
      <c r="LEH228" s="12"/>
      <c r="LEI228" s="12"/>
      <c r="LEJ228" s="12"/>
      <c r="LEK228" s="12"/>
      <c r="LEL228" s="12"/>
      <c r="LEM228" s="12"/>
      <c r="LEN228" s="12"/>
      <c r="LEO228" s="12"/>
      <c r="LEP228" s="12"/>
      <c r="LEQ228" s="12"/>
      <c r="LER228" s="12"/>
      <c r="LES228" s="12"/>
      <c r="LET228" s="12"/>
      <c r="LEU228" s="12"/>
      <c r="LEV228" s="12"/>
      <c r="LEW228" s="12"/>
      <c r="LEX228" s="12"/>
      <c r="LEY228" s="12"/>
      <c r="LEZ228" s="12"/>
      <c r="LFA228" s="12"/>
      <c r="LFB228" s="12"/>
      <c r="LFC228" s="12"/>
      <c r="LFD228" s="12"/>
      <c r="LFE228" s="12"/>
      <c r="LFF228" s="12"/>
      <c r="LFG228" s="12"/>
      <c r="LFH228" s="12"/>
      <c r="LFI228" s="12"/>
      <c r="LFJ228" s="12"/>
      <c r="LFK228" s="12"/>
      <c r="LFL228" s="12"/>
      <c r="LFM228" s="12"/>
      <c r="LFN228" s="12"/>
      <c r="LFO228" s="12"/>
      <c r="LFP228" s="12"/>
      <c r="LFQ228" s="12"/>
      <c r="LFR228" s="12"/>
      <c r="LFS228" s="12"/>
      <c r="LFT228" s="12"/>
      <c r="LFU228" s="12"/>
      <c r="LFV228" s="12"/>
      <c r="LFW228" s="12"/>
      <c r="LFX228" s="12"/>
      <c r="LFY228" s="12"/>
      <c r="LFZ228" s="12"/>
      <c r="LGA228" s="12"/>
      <c r="LGB228" s="12"/>
      <c r="LGC228" s="12"/>
      <c r="LGD228" s="12"/>
      <c r="LGE228" s="12"/>
      <c r="LGF228" s="12"/>
      <c r="LGG228" s="12"/>
      <c r="LGH228" s="12"/>
      <c r="LGI228" s="12"/>
      <c r="LGJ228" s="12"/>
      <c r="LGK228" s="12"/>
      <c r="LGL228" s="12"/>
      <c r="LGM228" s="12"/>
      <c r="LGN228" s="12"/>
      <c r="LGO228" s="12"/>
      <c r="LGP228" s="12"/>
      <c r="LGQ228" s="12"/>
      <c r="LGR228" s="12"/>
      <c r="LGS228" s="12"/>
      <c r="LGT228" s="12"/>
      <c r="LGU228" s="12"/>
      <c r="LGV228" s="12"/>
      <c r="LGW228" s="12"/>
      <c r="LGX228" s="12"/>
      <c r="LGY228" s="12"/>
      <c r="LGZ228" s="12"/>
      <c r="LHA228" s="12"/>
      <c r="LHB228" s="12"/>
      <c r="LHC228" s="12"/>
      <c r="LHD228" s="12"/>
      <c r="LHE228" s="12"/>
      <c r="LHF228" s="12"/>
      <c r="LHG228" s="12"/>
      <c r="LHH228" s="12"/>
      <c r="LHI228" s="12"/>
      <c r="LHJ228" s="12"/>
      <c r="LHK228" s="12"/>
      <c r="LHL228" s="12"/>
      <c r="LHM228" s="12"/>
      <c r="LHN228" s="12"/>
      <c r="LHO228" s="12"/>
      <c r="LHP228" s="12"/>
      <c r="LHQ228" s="12"/>
      <c r="LHR228" s="12"/>
      <c r="LHS228" s="12"/>
      <c r="LHT228" s="12"/>
      <c r="LHU228" s="12"/>
      <c r="LHV228" s="12"/>
      <c r="LHW228" s="12"/>
      <c r="LHX228" s="12"/>
      <c r="LHY228" s="12"/>
      <c r="LHZ228" s="12"/>
      <c r="LIA228" s="12"/>
      <c r="LIB228" s="12"/>
      <c r="LIC228" s="12"/>
      <c r="LID228" s="12"/>
      <c r="LIE228" s="12"/>
      <c r="LIF228" s="12"/>
      <c r="LIG228" s="12"/>
      <c r="LIH228" s="12"/>
      <c r="LII228" s="12"/>
      <c r="LIJ228" s="12"/>
      <c r="LIK228" s="12"/>
      <c r="LIL228" s="12"/>
      <c r="LIM228" s="12"/>
      <c r="LIN228" s="12"/>
      <c r="LIO228" s="12"/>
      <c r="LIP228" s="12"/>
      <c r="LIQ228" s="12"/>
      <c r="LIR228" s="12"/>
      <c r="LIS228" s="12"/>
      <c r="LIT228" s="12"/>
      <c r="LIU228" s="12"/>
      <c r="LIV228" s="12"/>
      <c r="LIW228" s="12"/>
      <c r="LIX228" s="12"/>
      <c r="LIY228" s="12"/>
      <c r="LIZ228" s="12"/>
      <c r="LJA228" s="12"/>
      <c r="LJB228" s="12"/>
      <c r="LJC228" s="12"/>
      <c r="LJD228" s="12"/>
      <c r="LJE228" s="12"/>
      <c r="LJF228" s="12"/>
      <c r="LJG228" s="12"/>
      <c r="LJH228" s="12"/>
      <c r="LJI228" s="12"/>
      <c r="LJJ228" s="12"/>
      <c r="LJK228" s="12"/>
      <c r="LJL228" s="12"/>
      <c r="LJM228" s="12"/>
      <c r="LJN228" s="12"/>
      <c r="LJO228" s="12"/>
      <c r="LJP228" s="12"/>
      <c r="LJQ228" s="12"/>
      <c r="LJR228" s="12"/>
      <c r="LJS228" s="12"/>
      <c r="LJT228" s="12"/>
      <c r="LJU228" s="12"/>
      <c r="LJV228" s="12"/>
      <c r="LJW228" s="12"/>
      <c r="LJX228" s="12"/>
      <c r="LJY228" s="12"/>
      <c r="LJZ228" s="12"/>
      <c r="LKA228" s="12"/>
      <c r="LKB228" s="12"/>
      <c r="LKC228" s="12"/>
      <c r="LKD228" s="12"/>
      <c r="LKE228" s="12"/>
      <c r="LKF228" s="12"/>
      <c r="LKG228" s="12"/>
      <c r="LKH228" s="12"/>
      <c r="LKI228" s="12"/>
      <c r="LKJ228" s="12"/>
      <c r="LKK228" s="12"/>
      <c r="LKL228" s="12"/>
      <c r="LKM228" s="12"/>
      <c r="LKN228" s="12"/>
      <c r="LKO228" s="12"/>
      <c r="LKP228" s="12"/>
      <c r="LKQ228" s="12"/>
      <c r="LKR228" s="12"/>
      <c r="LKS228" s="12"/>
      <c r="LKT228" s="12"/>
      <c r="LKU228" s="12"/>
      <c r="LKV228" s="12"/>
      <c r="LKW228" s="12"/>
      <c r="LKX228" s="12"/>
      <c r="LKY228" s="12"/>
      <c r="LKZ228" s="12"/>
      <c r="LLA228" s="12"/>
      <c r="LLB228" s="12"/>
      <c r="LLC228" s="12"/>
      <c r="LLD228" s="12"/>
      <c r="LLE228" s="12"/>
      <c r="LLF228" s="12"/>
      <c r="LLG228" s="12"/>
      <c r="LLH228" s="12"/>
      <c r="LLI228" s="12"/>
      <c r="LLJ228" s="12"/>
      <c r="LLK228" s="12"/>
      <c r="LLL228" s="12"/>
      <c r="LLM228" s="12"/>
      <c r="LLN228" s="12"/>
      <c r="LLO228" s="12"/>
      <c r="LLP228" s="12"/>
      <c r="LLQ228" s="12"/>
      <c r="LLR228" s="12"/>
      <c r="LLS228" s="12"/>
      <c r="LLT228" s="12"/>
      <c r="LLU228" s="12"/>
      <c r="LLV228" s="12"/>
      <c r="LLW228" s="12"/>
      <c r="LLX228" s="12"/>
      <c r="LLY228" s="12"/>
      <c r="LLZ228" s="12"/>
      <c r="LMA228" s="12"/>
      <c r="LMB228" s="12"/>
      <c r="LMC228" s="12"/>
      <c r="LMD228" s="12"/>
      <c r="LME228" s="12"/>
      <c r="LMF228" s="12"/>
      <c r="LMG228" s="12"/>
      <c r="LMH228" s="12"/>
      <c r="LMI228" s="12"/>
      <c r="LMJ228" s="12"/>
      <c r="LMK228" s="12"/>
      <c r="LML228" s="12"/>
      <c r="LMM228" s="12"/>
      <c r="LMN228" s="12"/>
      <c r="LMO228" s="12"/>
      <c r="LMP228" s="12"/>
      <c r="LMQ228" s="12"/>
      <c r="LMR228" s="12"/>
      <c r="LMS228" s="12"/>
      <c r="LMT228" s="12"/>
      <c r="LMU228" s="12"/>
      <c r="LMV228" s="12"/>
      <c r="LMW228" s="12"/>
      <c r="LMX228" s="12"/>
      <c r="LMY228" s="12"/>
      <c r="LMZ228" s="12"/>
      <c r="LNA228" s="12"/>
      <c r="LNB228" s="12"/>
      <c r="LNC228" s="12"/>
      <c r="LND228" s="12"/>
      <c r="LNE228" s="12"/>
      <c r="LNF228" s="12"/>
      <c r="LNG228" s="12"/>
      <c r="LNH228" s="12"/>
      <c r="LNI228" s="12"/>
      <c r="LNJ228" s="12"/>
      <c r="LNK228" s="12"/>
      <c r="LNL228" s="12"/>
      <c r="LNM228" s="12"/>
      <c r="LNN228" s="12"/>
      <c r="LNO228" s="12"/>
      <c r="LNP228" s="12"/>
      <c r="LNQ228" s="12"/>
      <c r="LNR228" s="12"/>
      <c r="LNS228" s="12"/>
      <c r="LNT228" s="12"/>
      <c r="LNU228" s="12"/>
      <c r="LNV228" s="12"/>
      <c r="LNW228" s="12"/>
      <c r="LNX228" s="12"/>
      <c r="LNY228" s="12"/>
      <c r="LNZ228" s="12"/>
      <c r="LOA228" s="12"/>
      <c r="LOB228" s="12"/>
      <c r="LOC228" s="12"/>
      <c r="LOD228" s="12"/>
      <c r="LOE228" s="12"/>
      <c r="LOF228" s="12"/>
      <c r="LOG228" s="12"/>
      <c r="LOH228" s="12"/>
      <c r="LOI228" s="12"/>
      <c r="LOJ228" s="12"/>
      <c r="LOK228" s="12"/>
      <c r="LOL228" s="12"/>
      <c r="LOM228" s="12"/>
      <c r="LON228" s="12"/>
      <c r="LOO228" s="12"/>
      <c r="LOP228" s="12"/>
      <c r="LOQ228" s="12"/>
      <c r="LOR228" s="12"/>
      <c r="LOS228" s="12"/>
      <c r="LOT228" s="12"/>
      <c r="LOU228" s="12"/>
      <c r="LOV228" s="12"/>
      <c r="LOW228" s="12"/>
      <c r="LOX228" s="12"/>
      <c r="LOY228" s="12"/>
      <c r="LOZ228" s="12"/>
      <c r="LPA228" s="12"/>
      <c r="LPB228" s="12"/>
      <c r="LPC228" s="12"/>
      <c r="LPD228" s="12"/>
      <c r="LPE228" s="12"/>
      <c r="LPF228" s="12"/>
      <c r="LPG228" s="12"/>
      <c r="LPH228" s="12"/>
      <c r="LPI228" s="12"/>
      <c r="LPJ228" s="12"/>
      <c r="LPK228" s="12"/>
      <c r="LPL228" s="12"/>
      <c r="LPM228" s="12"/>
      <c r="LPN228" s="12"/>
      <c r="LPO228" s="12"/>
      <c r="LPP228" s="12"/>
      <c r="LPQ228" s="12"/>
      <c r="LPR228" s="12"/>
      <c r="LPS228" s="12"/>
      <c r="LPT228" s="12"/>
      <c r="LPU228" s="12"/>
      <c r="LPV228" s="12"/>
      <c r="LPW228" s="12"/>
      <c r="LPX228" s="12"/>
      <c r="LPY228" s="12"/>
      <c r="LPZ228" s="12"/>
      <c r="LQA228" s="12"/>
      <c r="LQB228" s="12"/>
      <c r="LQC228" s="12"/>
      <c r="LQD228" s="12"/>
      <c r="LQE228" s="12"/>
      <c r="LQF228" s="12"/>
      <c r="LQG228" s="12"/>
      <c r="LQH228" s="12"/>
      <c r="LQI228" s="12"/>
      <c r="LQJ228" s="12"/>
      <c r="LQK228" s="12"/>
      <c r="LQL228" s="12"/>
      <c r="LQM228" s="12"/>
      <c r="LQN228" s="12"/>
      <c r="LQO228" s="12"/>
      <c r="LQP228" s="12"/>
      <c r="LQQ228" s="12"/>
      <c r="LQR228" s="12"/>
      <c r="LQS228" s="12"/>
      <c r="LQT228" s="12"/>
      <c r="LQU228" s="12"/>
      <c r="LQV228" s="12"/>
      <c r="LQW228" s="12"/>
      <c r="LQX228" s="12"/>
      <c r="LQY228" s="12"/>
      <c r="LQZ228" s="12"/>
      <c r="LRA228" s="12"/>
      <c r="LRB228" s="12"/>
      <c r="LRC228" s="12"/>
      <c r="LRD228" s="12"/>
      <c r="LRE228" s="12"/>
      <c r="LRF228" s="12"/>
      <c r="LRG228" s="12"/>
      <c r="LRH228" s="12"/>
      <c r="LRI228" s="12"/>
      <c r="LRJ228" s="12"/>
      <c r="LRK228" s="12"/>
      <c r="LRL228" s="12"/>
      <c r="LRM228" s="12"/>
      <c r="LRN228" s="12"/>
      <c r="LRO228" s="12"/>
      <c r="LRP228" s="12"/>
      <c r="LRQ228" s="12"/>
      <c r="LRR228" s="12"/>
      <c r="LRS228" s="12"/>
      <c r="LRT228" s="12"/>
      <c r="LRU228" s="12"/>
      <c r="LRV228" s="12"/>
      <c r="LRW228" s="12"/>
      <c r="LRX228" s="12"/>
      <c r="LRY228" s="12"/>
      <c r="LRZ228" s="12"/>
      <c r="LSA228" s="12"/>
      <c r="LSB228" s="12"/>
      <c r="LSC228" s="12"/>
      <c r="LSD228" s="12"/>
      <c r="LSE228" s="12"/>
      <c r="LSF228" s="12"/>
      <c r="LSG228" s="12"/>
      <c r="LSH228" s="12"/>
      <c r="LSI228" s="12"/>
      <c r="LSJ228" s="12"/>
      <c r="LSK228" s="12"/>
      <c r="LSL228" s="12"/>
      <c r="LSM228" s="12"/>
      <c r="LSN228" s="12"/>
      <c r="LSO228" s="12"/>
      <c r="LSP228" s="12"/>
      <c r="LSQ228" s="12"/>
      <c r="LSR228" s="12"/>
      <c r="LSS228" s="12"/>
      <c r="LST228" s="12"/>
      <c r="LSU228" s="12"/>
      <c r="LSV228" s="12"/>
      <c r="LSW228" s="12"/>
      <c r="LSX228" s="12"/>
      <c r="LSY228" s="12"/>
      <c r="LSZ228" s="12"/>
      <c r="LTA228" s="12"/>
      <c r="LTB228" s="12"/>
      <c r="LTC228" s="12"/>
      <c r="LTD228" s="12"/>
      <c r="LTE228" s="12"/>
      <c r="LTF228" s="12"/>
      <c r="LTG228" s="12"/>
      <c r="LTH228" s="12"/>
      <c r="LTI228" s="12"/>
      <c r="LTJ228" s="12"/>
      <c r="LTK228" s="12"/>
      <c r="LTL228" s="12"/>
      <c r="LTM228" s="12"/>
      <c r="LTN228" s="12"/>
      <c r="LTO228" s="12"/>
      <c r="LTP228" s="12"/>
      <c r="LTQ228" s="12"/>
      <c r="LTR228" s="12"/>
      <c r="LTS228" s="12"/>
      <c r="LTT228" s="12"/>
      <c r="LTU228" s="12"/>
      <c r="LTV228" s="12"/>
      <c r="LTW228" s="12"/>
      <c r="LTX228" s="12"/>
      <c r="LTY228" s="12"/>
      <c r="LTZ228" s="12"/>
      <c r="LUA228" s="12"/>
      <c r="LUB228" s="12"/>
      <c r="LUC228" s="12"/>
      <c r="LUD228" s="12"/>
      <c r="LUE228" s="12"/>
      <c r="LUF228" s="12"/>
      <c r="LUG228" s="12"/>
      <c r="LUH228" s="12"/>
      <c r="LUI228" s="12"/>
      <c r="LUJ228" s="12"/>
      <c r="LUK228" s="12"/>
      <c r="LUL228" s="12"/>
      <c r="LUM228" s="12"/>
      <c r="LUN228" s="12"/>
      <c r="LUO228" s="12"/>
      <c r="LUP228" s="12"/>
      <c r="LUQ228" s="12"/>
      <c r="LUR228" s="12"/>
      <c r="LUS228" s="12"/>
      <c r="LUT228" s="12"/>
      <c r="LUU228" s="12"/>
      <c r="LUV228" s="12"/>
      <c r="LUW228" s="12"/>
      <c r="LUX228" s="12"/>
      <c r="LUY228" s="12"/>
      <c r="LUZ228" s="12"/>
      <c r="LVA228" s="12"/>
      <c r="LVB228" s="12"/>
      <c r="LVC228" s="12"/>
      <c r="LVD228" s="12"/>
      <c r="LVE228" s="12"/>
      <c r="LVF228" s="12"/>
      <c r="LVG228" s="12"/>
      <c r="LVH228" s="12"/>
      <c r="LVI228" s="12"/>
      <c r="LVJ228" s="12"/>
      <c r="LVK228" s="12"/>
      <c r="LVL228" s="12"/>
      <c r="LVM228" s="12"/>
      <c r="LVN228" s="12"/>
      <c r="LVO228" s="12"/>
      <c r="LVP228" s="12"/>
      <c r="LVQ228" s="12"/>
      <c r="LVR228" s="12"/>
      <c r="LVS228" s="12"/>
      <c r="LVT228" s="12"/>
      <c r="LVU228" s="12"/>
      <c r="LVV228" s="12"/>
      <c r="LVW228" s="12"/>
      <c r="LVX228" s="12"/>
      <c r="LVY228" s="12"/>
      <c r="LVZ228" s="12"/>
      <c r="LWA228" s="12"/>
      <c r="LWB228" s="12"/>
      <c r="LWC228" s="12"/>
      <c r="LWD228" s="12"/>
      <c r="LWE228" s="12"/>
      <c r="LWF228" s="12"/>
      <c r="LWG228" s="12"/>
      <c r="LWH228" s="12"/>
      <c r="LWI228" s="12"/>
      <c r="LWJ228" s="12"/>
      <c r="LWK228" s="12"/>
      <c r="LWL228" s="12"/>
      <c r="LWM228" s="12"/>
      <c r="LWN228" s="12"/>
      <c r="LWO228" s="12"/>
      <c r="LWP228" s="12"/>
      <c r="LWQ228" s="12"/>
      <c r="LWR228" s="12"/>
      <c r="LWS228" s="12"/>
      <c r="LWT228" s="12"/>
      <c r="LWU228" s="12"/>
      <c r="LWV228" s="12"/>
      <c r="LWW228" s="12"/>
      <c r="LWX228" s="12"/>
      <c r="LWY228" s="12"/>
      <c r="LWZ228" s="12"/>
      <c r="LXA228" s="12"/>
      <c r="LXB228" s="12"/>
      <c r="LXC228" s="12"/>
      <c r="LXD228" s="12"/>
      <c r="LXE228" s="12"/>
      <c r="LXF228" s="12"/>
      <c r="LXG228" s="12"/>
      <c r="LXH228" s="12"/>
      <c r="LXI228" s="12"/>
      <c r="LXJ228" s="12"/>
      <c r="LXK228" s="12"/>
      <c r="LXL228" s="12"/>
      <c r="LXM228" s="12"/>
      <c r="LXN228" s="12"/>
      <c r="LXO228" s="12"/>
      <c r="LXP228" s="12"/>
      <c r="LXQ228" s="12"/>
      <c r="LXR228" s="12"/>
      <c r="LXS228" s="12"/>
      <c r="LXT228" s="12"/>
      <c r="LXU228" s="12"/>
      <c r="LXV228" s="12"/>
      <c r="LXW228" s="12"/>
      <c r="LXX228" s="12"/>
      <c r="LXY228" s="12"/>
      <c r="LXZ228" s="12"/>
      <c r="LYA228" s="12"/>
      <c r="LYB228" s="12"/>
      <c r="LYC228" s="12"/>
      <c r="LYD228" s="12"/>
      <c r="LYE228" s="12"/>
      <c r="LYF228" s="12"/>
      <c r="LYG228" s="12"/>
      <c r="LYH228" s="12"/>
      <c r="LYI228" s="12"/>
      <c r="LYJ228" s="12"/>
      <c r="LYK228" s="12"/>
      <c r="LYL228" s="12"/>
      <c r="LYM228" s="12"/>
      <c r="LYN228" s="12"/>
      <c r="LYO228" s="12"/>
      <c r="LYP228" s="12"/>
      <c r="LYQ228" s="12"/>
      <c r="LYR228" s="12"/>
      <c r="LYS228" s="12"/>
      <c r="LYT228" s="12"/>
      <c r="LYU228" s="12"/>
      <c r="LYV228" s="12"/>
      <c r="LYW228" s="12"/>
      <c r="LYX228" s="12"/>
      <c r="LYY228" s="12"/>
      <c r="LYZ228" s="12"/>
      <c r="LZA228" s="12"/>
      <c r="LZB228" s="12"/>
      <c r="LZC228" s="12"/>
      <c r="LZD228" s="12"/>
      <c r="LZE228" s="12"/>
      <c r="LZF228" s="12"/>
      <c r="LZG228" s="12"/>
      <c r="LZH228" s="12"/>
      <c r="LZI228" s="12"/>
      <c r="LZJ228" s="12"/>
      <c r="LZK228" s="12"/>
      <c r="LZL228" s="12"/>
      <c r="LZM228" s="12"/>
      <c r="LZN228" s="12"/>
      <c r="LZO228" s="12"/>
      <c r="LZP228" s="12"/>
      <c r="LZQ228" s="12"/>
      <c r="LZR228" s="12"/>
      <c r="LZS228" s="12"/>
      <c r="LZT228" s="12"/>
      <c r="LZU228" s="12"/>
      <c r="LZV228" s="12"/>
      <c r="LZW228" s="12"/>
      <c r="LZX228" s="12"/>
      <c r="LZY228" s="12"/>
      <c r="LZZ228" s="12"/>
      <c r="MAA228" s="12"/>
      <c r="MAB228" s="12"/>
      <c r="MAC228" s="12"/>
      <c r="MAD228" s="12"/>
      <c r="MAE228" s="12"/>
      <c r="MAF228" s="12"/>
      <c r="MAG228" s="12"/>
      <c r="MAH228" s="12"/>
      <c r="MAI228" s="12"/>
      <c r="MAJ228" s="12"/>
      <c r="MAK228" s="12"/>
      <c r="MAL228" s="12"/>
      <c r="MAM228" s="12"/>
      <c r="MAN228" s="12"/>
      <c r="MAO228" s="12"/>
      <c r="MAP228" s="12"/>
      <c r="MAQ228" s="12"/>
      <c r="MAR228" s="12"/>
      <c r="MAS228" s="12"/>
      <c r="MAT228" s="12"/>
      <c r="MAU228" s="12"/>
      <c r="MAV228" s="12"/>
      <c r="MAW228" s="12"/>
      <c r="MAX228" s="12"/>
      <c r="MAY228" s="12"/>
      <c r="MAZ228" s="12"/>
      <c r="MBA228" s="12"/>
      <c r="MBB228" s="12"/>
      <c r="MBC228" s="12"/>
      <c r="MBD228" s="12"/>
      <c r="MBE228" s="12"/>
      <c r="MBF228" s="12"/>
      <c r="MBG228" s="12"/>
      <c r="MBH228" s="12"/>
      <c r="MBI228" s="12"/>
      <c r="MBJ228" s="12"/>
      <c r="MBK228" s="12"/>
      <c r="MBL228" s="12"/>
      <c r="MBM228" s="12"/>
      <c r="MBN228" s="12"/>
      <c r="MBO228" s="12"/>
      <c r="MBP228" s="12"/>
      <c r="MBQ228" s="12"/>
      <c r="MBR228" s="12"/>
      <c r="MBS228" s="12"/>
      <c r="MBT228" s="12"/>
      <c r="MBU228" s="12"/>
      <c r="MBV228" s="12"/>
      <c r="MBW228" s="12"/>
      <c r="MBX228" s="12"/>
      <c r="MBY228" s="12"/>
      <c r="MBZ228" s="12"/>
      <c r="MCA228" s="12"/>
      <c r="MCB228" s="12"/>
      <c r="MCC228" s="12"/>
      <c r="MCD228" s="12"/>
      <c r="MCE228" s="12"/>
      <c r="MCF228" s="12"/>
      <c r="MCG228" s="12"/>
      <c r="MCH228" s="12"/>
      <c r="MCI228" s="12"/>
      <c r="MCJ228" s="12"/>
      <c r="MCK228" s="12"/>
      <c r="MCL228" s="12"/>
      <c r="MCM228" s="12"/>
      <c r="MCN228" s="12"/>
      <c r="MCO228" s="12"/>
      <c r="MCP228" s="12"/>
      <c r="MCQ228" s="12"/>
      <c r="MCR228" s="12"/>
      <c r="MCS228" s="12"/>
      <c r="MCT228" s="12"/>
      <c r="MCU228" s="12"/>
      <c r="MCV228" s="12"/>
      <c r="MCW228" s="12"/>
      <c r="MCX228" s="12"/>
      <c r="MCY228" s="12"/>
      <c r="MCZ228" s="12"/>
      <c r="MDA228" s="12"/>
      <c r="MDB228" s="12"/>
      <c r="MDC228" s="12"/>
      <c r="MDD228" s="12"/>
      <c r="MDE228" s="12"/>
      <c r="MDF228" s="12"/>
      <c r="MDG228" s="12"/>
      <c r="MDH228" s="12"/>
      <c r="MDI228" s="12"/>
      <c r="MDJ228" s="12"/>
      <c r="MDK228" s="12"/>
      <c r="MDL228" s="12"/>
      <c r="MDM228" s="12"/>
      <c r="MDN228" s="12"/>
      <c r="MDO228" s="12"/>
      <c r="MDP228" s="12"/>
      <c r="MDQ228" s="12"/>
      <c r="MDR228" s="12"/>
      <c r="MDS228" s="12"/>
      <c r="MDT228" s="12"/>
      <c r="MDU228" s="12"/>
      <c r="MDV228" s="12"/>
      <c r="MDW228" s="12"/>
      <c r="MDX228" s="12"/>
      <c r="MDY228" s="12"/>
      <c r="MDZ228" s="12"/>
      <c r="MEA228" s="12"/>
      <c r="MEB228" s="12"/>
      <c r="MEC228" s="12"/>
      <c r="MED228" s="12"/>
      <c r="MEE228" s="12"/>
      <c r="MEF228" s="12"/>
      <c r="MEG228" s="12"/>
      <c r="MEH228" s="12"/>
      <c r="MEI228" s="12"/>
      <c r="MEJ228" s="12"/>
      <c r="MEK228" s="12"/>
      <c r="MEL228" s="12"/>
      <c r="MEM228" s="12"/>
      <c r="MEN228" s="12"/>
      <c r="MEO228" s="12"/>
      <c r="MEP228" s="12"/>
      <c r="MEQ228" s="12"/>
      <c r="MER228" s="12"/>
      <c r="MES228" s="12"/>
      <c r="MET228" s="12"/>
      <c r="MEU228" s="12"/>
      <c r="MEV228" s="12"/>
      <c r="MEW228" s="12"/>
      <c r="MEX228" s="12"/>
      <c r="MEY228" s="12"/>
      <c r="MEZ228" s="12"/>
      <c r="MFA228" s="12"/>
      <c r="MFB228" s="12"/>
      <c r="MFC228" s="12"/>
      <c r="MFD228" s="12"/>
      <c r="MFE228" s="12"/>
      <c r="MFF228" s="12"/>
      <c r="MFG228" s="12"/>
      <c r="MFH228" s="12"/>
      <c r="MFI228" s="12"/>
      <c r="MFJ228" s="12"/>
      <c r="MFK228" s="12"/>
      <c r="MFL228" s="12"/>
      <c r="MFM228" s="12"/>
      <c r="MFN228" s="12"/>
      <c r="MFO228" s="12"/>
      <c r="MFP228" s="12"/>
      <c r="MFQ228" s="12"/>
      <c r="MFR228" s="12"/>
      <c r="MFS228" s="12"/>
      <c r="MFT228" s="12"/>
      <c r="MFU228" s="12"/>
      <c r="MFV228" s="12"/>
      <c r="MFW228" s="12"/>
      <c r="MFX228" s="12"/>
      <c r="MFY228" s="12"/>
      <c r="MFZ228" s="12"/>
      <c r="MGA228" s="12"/>
      <c r="MGB228" s="12"/>
      <c r="MGC228" s="12"/>
      <c r="MGD228" s="12"/>
      <c r="MGE228" s="12"/>
      <c r="MGF228" s="12"/>
      <c r="MGG228" s="12"/>
      <c r="MGH228" s="12"/>
      <c r="MGI228" s="12"/>
      <c r="MGJ228" s="12"/>
      <c r="MGK228" s="12"/>
      <c r="MGL228" s="12"/>
      <c r="MGM228" s="12"/>
      <c r="MGN228" s="12"/>
      <c r="MGO228" s="12"/>
      <c r="MGP228" s="12"/>
      <c r="MGQ228" s="12"/>
      <c r="MGR228" s="12"/>
      <c r="MGS228" s="12"/>
      <c r="MGT228" s="12"/>
      <c r="MGU228" s="12"/>
      <c r="MGV228" s="12"/>
      <c r="MGW228" s="12"/>
      <c r="MGX228" s="12"/>
      <c r="MGY228" s="12"/>
      <c r="MGZ228" s="12"/>
      <c r="MHA228" s="12"/>
      <c r="MHB228" s="12"/>
      <c r="MHC228" s="12"/>
      <c r="MHD228" s="12"/>
      <c r="MHE228" s="12"/>
      <c r="MHF228" s="12"/>
      <c r="MHG228" s="12"/>
      <c r="MHH228" s="12"/>
      <c r="MHI228" s="12"/>
      <c r="MHJ228" s="12"/>
      <c r="MHK228" s="12"/>
      <c r="MHL228" s="12"/>
      <c r="MHM228" s="12"/>
      <c r="MHN228" s="12"/>
      <c r="MHO228" s="12"/>
      <c r="MHP228" s="12"/>
      <c r="MHQ228" s="12"/>
      <c r="MHR228" s="12"/>
      <c r="MHS228" s="12"/>
      <c r="MHT228" s="12"/>
      <c r="MHU228" s="12"/>
      <c r="MHV228" s="12"/>
      <c r="MHW228" s="12"/>
      <c r="MHX228" s="12"/>
      <c r="MHY228" s="12"/>
      <c r="MHZ228" s="12"/>
      <c r="MIA228" s="12"/>
      <c r="MIB228" s="12"/>
      <c r="MIC228" s="12"/>
      <c r="MID228" s="12"/>
      <c r="MIE228" s="12"/>
      <c r="MIF228" s="12"/>
      <c r="MIG228" s="12"/>
      <c r="MIH228" s="12"/>
      <c r="MII228" s="12"/>
      <c r="MIJ228" s="12"/>
      <c r="MIK228" s="12"/>
      <c r="MIL228" s="12"/>
      <c r="MIM228" s="12"/>
      <c r="MIN228" s="12"/>
      <c r="MIO228" s="12"/>
      <c r="MIP228" s="12"/>
      <c r="MIQ228" s="12"/>
      <c r="MIR228" s="12"/>
      <c r="MIS228" s="12"/>
      <c r="MIT228" s="12"/>
      <c r="MIU228" s="12"/>
      <c r="MIV228" s="12"/>
      <c r="MIW228" s="12"/>
      <c r="MIX228" s="12"/>
      <c r="MIY228" s="12"/>
      <c r="MIZ228" s="12"/>
      <c r="MJA228" s="12"/>
      <c r="MJB228" s="12"/>
      <c r="MJC228" s="12"/>
      <c r="MJD228" s="12"/>
      <c r="MJE228" s="12"/>
      <c r="MJF228" s="12"/>
      <c r="MJG228" s="12"/>
      <c r="MJH228" s="12"/>
      <c r="MJI228" s="12"/>
      <c r="MJJ228" s="12"/>
      <c r="MJK228" s="12"/>
      <c r="MJL228" s="12"/>
      <c r="MJM228" s="12"/>
      <c r="MJN228" s="12"/>
      <c r="MJO228" s="12"/>
      <c r="MJP228" s="12"/>
      <c r="MJQ228" s="12"/>
      <c r="MJR228" s="12"/>
      <c r="MJS228" s="12"/>
      <c r="MJT228" s="12"/>
      <c r="MJU228" s="12"/>
      <c r="MJV228" s="12"/>
      <c r="MJW228" s="12"/>
      <c r="MJX228" s="12"/>
      <c r="MJY228" s="12"/>
      <c r="MJZ228" s="12"/>
      <c r="MKA228" s="12"/>
      <c r="MKB228" s="12"/>
      <c r="MKC228" s="12"/>
      <c r="MKD228" s="12"/>
      <c r="MKE228" s="12"/>
      <c r="MKF228" s="12"/>
      <c r="MKG228" s="12"/>
      <c r="MKH228" s="12"/>
      <c r="MKI228" s="12"/>
      <c r="MKJ228" s="12"/>
      <c r="MKK228" s="12"/>
      <c r="MKL228" s="12"/>
      <c r="MKM228" s="12"/>
      <c r="MKN228" s="12"/>
      <c r="MKO228" s="12"/>
      <c r="MKP228" s="12"/>
      <c r="MKQ228" s="12"/>
      <c r="MKR228" s="12"/>
      <c r="MKS228" s="12"/>
      <c r="MKT228" s="12"/>
      <c r="MKU228" s="12"/>
      <c r="MKV228" s="12"/>
      <c r="MKW228" s="12"/>
      <c r="MKX228" s="12"/>
      <c r="MKY228" s="12"/>
      <c r="MKZ228" s="12"/>
      <c r="MLA228" s="12"/>
      <c r="MLB228" s="12"/>
      <c r="MLC228" s="12"/>
      <c r="MLD228" s="12"/>
      <c r="MLE228" s="12"/>
      <c r="MLF228" s="12"/>
      <c r="MLG228" s="12"/>
      <c r="MLH228" s="12"/>
      <c r="MLI228" s="12"/>
      <c r="MLJ228" s="12"/>
      <c r="MLK228" s="12"/>
      <c r="MLL228" s="12"/>
      <c r="MLM228" s="12"/>
      <c r="MLN228" s="12"/>
      <c r="MLO228" s="12"/>
      <c r="MLP228" s="12"/>
      <c r="MLQ228" s="12"/>
      <c r="MLR228" s="12"/>
      <c r="MLS228" s="12"/>
      <c r="MLT228" s="12"/>
      <c r="MLU228" s="12"/>
      <c r="MLV228" s="12"/>
      <c r="MLW228" s="12"/>
      <c r="MLX228" s="12"/>
      <c r="MLY228" s="12"/>
      <c r="MLZ228" s="12"/>
      <c r="MMA228" s="12"/>
      <c r="MMB228" s="12"/>
      <c r="MMC228" s="12"/>
      <c r="MMD228" s="12"/>
      <c r="MME228" s="12"/>
      <c r="MMF228" s="12"/>
      <c r="MMG228" s="12"/>
      <c r="MMH228" s="12"/>
      <c r="MMI228" s="12"/>
      <c r="MMJ228" s="12"/>
      <c r="MMK228" s="12"/>
      <c r="MML228" s="12"/>
      <c r="MMM228" s="12"/>
      <c r="MMN228" s="12"/>
      <c r="MMO228" s="12"/>
      <c r="MMP228" s="12"/>
      <c r="MMQ228" s="12"/>
      <c r="MMR228" s="12"/>
      <c r="MMS228" s="12"/>
      <c r="MMT228" s="12"/>
      <c r="MMU228" s="12"/>
      <c r="MMV228" s="12"/>
      <c r="MMW228" s="12"/>
      <c r="MMX228" s="12"/>
      <c r="MMY228" s="12"/>
      <c r="MMZ228" s="12"/>
      <c r="MNA228" s="12"/>
      <c r="MNB228" s="12"/>
      <c r="MNC228" s="12"/>
      <c r="MND228" s="12"/>
      <c r="MNE228" s="12"/>
      <c r="MNF228" s="12"/>
      <c r="MNG228" s="12"/>
      <c r="MNH228" s="12"/>
      <c r="MNI228" s="12"/>
      <c r="MNJ228" s="12"/>
      <c r="MNK228" s="12"/>
      <c r="MNL228" s="12"/>
      <c r="MNM228" s="12"/>
      <c r="MNN228" s="12"/>
      <c r="MNO228" s="12"/>
      <c r="MNP228" s="12"/>
      <c r="MNQ228" s="12"/>
      <c r="MNR228" s="12"/>
      <c r="MNS228" s="12"/>
      <c r="MNT228" s="12"/>
      <c r="MNU228" s="12"/>
      <c r="MNV228" s="12"/>
      <c r="MNW228" s="12"/>
      <c r="MNX228" s="12"/>
      <c r="MNY228" s="12"/>
      <c r="MNZ228" s="12"/>
      <c r="MOA228" s="12"/>
      <c r="MOB228" s="12"/>
      <c r="MOC228" s="12"/>
      <c r="MOD228" s="12"/>
      <c r="MOE228" s="12"/>
      <c r="MOF228" s="12"/>
      <c r="MOG228" s="12"/>
      <c r="MOH228" s="12"/>
      <c r="MOI228" s="12"/>
      <c r="MOJ228" s="12"/>
      <c r="MOK228" s="12"/>
      <c r="MOL228" s="12"/>
      <c r="MOM228" s="12"/>
      <c r="MON228" s="12"/>
      <c r="MOO228" s="12"/>
      <c r="MOP228" s="12"/>
      <c r="MOQ228" s="12"/>
      <c r="MOR228" s="12"/>
      <c r="MOS228" s="12"/>
      <c r="MOT228" s="12"/>
      <c r="MOU228" s="12"/>
      <c r="MOV228" s="12"/>
      <c r="MOW228" s="12"/>
      <c r="MOX228" s="12"/>
      <c r="MOY228" s="12"/>
      <c r="MOZ228" s="12"/>
      <c r="MPA228" s="12"/>
      <c r="MPB228" s="12"/>
      <c r="MPC228" s="12"/>
      <c r="MPD228" s="12"/>
      <c r="MPE228" s="12"/>
      <c r="MPF228" s="12"/>
      <c r="MPG228" s="12"/>
      <c r="MPH228" s="12"/>
      <c r="MPI228" s="12"/>
      <c r="MPJ228" s="12"/>
      <c r="MPK228" s="12"/>
      <c r="MPL228" s="12"/>
      <c r="MPM228" s="12"/>
      <c r="MPN228" s="12"/>
      <c r="MPO228" s="12"/>
      <c r="MPP228" s="12"/>
      <c r="MPQ228" s="12"/>
      <c r="MPR228" s="12"/>
      <c r="MPS228" s="12"/>
      <c r="MPT228" s="12"/>
      <c r="MPU228" s="12"/>
      <c r="MPV228" s="12"/>
      <c r="MPW228" s="12"/>
      <c r="MPX228" s="12"/>
      <c r="MPY228" s="12"/>
      <c r="MPZ228" s="12"/>
      <c r="MQA228" s="12"/>
      <c r="MQB228" s="12"/>
      <c r="MQC228" s="12"/>
      <c r="MQD228" s="12"/>
      <c r="MQE228" s="12"/>
      <c r="MQF228" s="12"/>
      <c r="MQG228" s="12"/>
      <c r="MQH228" s="12"/>
      <c r="MQI228" s="12"/>
      <c r="MQJ228" s="12"/>
      <c r="MQK228" s="12"/>
      <c r="MQL228" s="12"/>
      <c r="MQM228" s="12"/>
      <c r="MQN228" s="12"/>
      <c r="MQO228" s="12"/>
      <c r="MQP228" s="12"/>
      <c r="MQQ228" s="12"/>
      <c r="MQR228" s="12"/>
      <c r="MQS228" s="12"/>
      <c r="MQT228" s="12"/>
      <c r="MQU228" s="12"/>
      <c r="MQV228" s="12"/>
      <c r="MQW228" s="12"/>
      <c r="MQX228" s="12"/>
      <c r="MQY228" s="12"/>
      <c r="MQZ228" s="12"/>
      <c r="MRA228" s="12"/>
      <c r="MRB228" s="12"/>
      <c r="MRC228" s="12"/>
      <c r="MRD228" s="12"/>
      <c r="MRE228" s="12"/>
      <c r="MRF228" s="12"/>
      <c r="MRG228" s="12"/>
      <c r="MRH228" s="12"/>
      <c r="MRI228" s="12"/>
      <c r="MRJ228" s="12"/>
      <c r="MRK228" s="12"/>
      <c r="MRL228" s="12"/>
      <c r="MRM228" s="12"/>
      <c r="MRN228" s="12"/>
      <c r="MRO228" s="12"/>
      <c r="MRP228" s="12"/>
      <c r="MRQ228" s="12"/>
      <c r="MRR228" s="12"/>
      <c r="MRS228" s="12"/>
      <c r="MRT228" s="12"/>
      <c r="MRU228" s="12"/>
      <c r="MRV228" s="12"/>
      <c r="MRW228" s="12"/>
      <c r="MRX228" s="12"/>
      <c r="MRY228" s="12"/>
      <c r="MRZ228" s="12"/>
      <c r="MSA228" s="12"/>
      <c r="MSB228" s="12"/>
      <c r="MSC228" s="12"/>
      <c r="MSD228" s="12"/>
      <c r="MSE228" s="12"/>
      <c r="MSF228" s="12"/>
      <c r="MSG228" s="12"/>
      <c r="MSH228" s="12"/>
      <c r="MSI228" s="12"/>
      <c r="MSJ228" s="12"/>
      <c r="MSK228" s="12"/>
      <c r="MSL228" s="12"/>
      <c r="MSM228" s="12"/>
      <c r="MSN228" s="12"/>
      <c r="MSO228" s="12"/>
      <c r="MSP228" s="12"/>
      <c r="MSQ228" s="12"/>
      <c r="MSR228" s="12"/>
      <c r="MSS228" s="12"/>
      <c r="MST228" s="12"/>
      <c r="MSU228" s="12"/>
      <c r="MSV228" s="12"/>
      <c r="MSW228" s="12"/>
      <c r="MSX228" s="12"/>
      <c r="MSY228" s="12"/>
      <c r="MSZ228" s="12"/>
      <c r="MTA228" s="12"/>
      <c r="MTB228" s="12"/>
      <c r="MTC228" s="12"/>
      <c r="MTD228" s="12"/>
      <c r="MTE228" s="12"/>
      <c r="MTF228" s="12"/>
      <c r="MTG228" s="12"/>
      <c r="MTH228" s="12"/>
      <c r="MTI228" s="12"/>
      <c r="MTJ228" s="12"/>
      <c r="MTK228" s="12"/>
      <c r="MTL228" s="12"/>
      <c r="MTM228" s="12"/>
      <c r="MTN228" s="12"/>
      <c r="MTO228" s="12"/>
      <c r="MTP228" s="12"/>
      <c r="MTQ228" s="12"/>
      <c r="MTR228" s="12"/>
      <c r="MTS228" s="12"/>
      <c r="MTT228" s="12"/>
      <c r="MTU228" s="12"/>
      <c r="MTV228" s="12"/>
      <c r="MTW228" s="12"/>
      <c r="MTX228" s="12"/>
      <c r="MTY228" s="12"/>
      <c r="MTZ228" s="12"/>
      <c r="MUA228" s="12"/>
      <c r="MUB228" s="12"/>
      <c r="MUC228" s="12"/>
      <c r="MUD228" s="12"/>
      <c r="MUE228" s="12"/>
      <c r="MUF228" s="12"/>
      <c r="MUG228" s="12"/>
      <c r="MUH228" s="12"/>
      <c r="MUI228" s="12"/>
      <c r="MUJ228" s="12"/>
      <c r="MUK228" s="12"/>
      <c r="MUL228" s="12"/>
      <c r="MUM228" s="12"/>
      <c r="MUN228" s="12"/>
      <c r="MUO228" s="12"/>
      <c r="MUP228" s="12"/>
      <c r="MUQ228" s="12"/>
      <c r="MUR228" s="12"/>
      <c r="MUS228" s="12"/>
      <c r="MUT228" s="12"/>
      <c r="MUU228" s="12"/>
      <c r="MUV228" s="12"/>
      <c r="MUW228" s="12"/>
      <c r="MUX228" s="12"/>
      <c r="MUY228" s="12"/>
      <c r="MUZ228" s="12"/>
      <c r="MVA228" s="12"/>
      <c r="MVB228" s="12"/>
      <c r="MVC228" s="12"/>
      <c r="MVD228" s="12"/>
      <c r="MVE228" s="12"/>
      <c r="MVF228" s="12"/>
      <c r="MVG228" s="12"/>
      <c r="MVH228" s="12"/>
      <c r="MVI228" s="12"/>
      <c r="MVJ228" s="12"/>
      <c r="MVK228" s="12"/>
      <c r="MVL228" s="12"/>
      <c r="MVM228" s="12"/>
      <c r="MVN228" s="12"/>
      <c r="MVO228" s="12"/>
      <c r="MVP228" s="12"/>
      <c r="MVQ228" s="12"/>
      <c r="MVR228" s="12"/>
      <c r="MVS228" s="12"/>
      <c r="MVT228" s="12"/>
      <c r="MVU228" s="12"/>
      <c r="MVV228" s="12"/>
      <c r="MVW228" s="12"/>
      <c r="MVX228" s="12"/>
      <c r="MVY228" s="12"/>
      <c r="MVZ228" s="12"/>
      <c r="MWA228" s="12"/>
      <c r="MWB228" s="12"/>
      <c r="MWC228" s="12"/>
      <c r="MWD228" s="12"/>
      <c r="MWE228" s="12"/>
      <c r="MWF228" s="12"/>
      <c r="MWG228" s="12"/>
      <c r="MWH228" s="12"/>
      <c r="MWI228" s="12"/>
      <c r="MWJ228" s="12"/>
      <c r="MWK228" s="12"/>
      <c r="MWL228" s="12"/>
      <c r="MWM228" s="12"/>
      <c r="MWN228" s="12"/>
      <c r="MWO228" s="12"/>
      <c r="MWP228" s="12"/>
      <c r="MWQ228" s="12"/>
      <c r="MWR228" s="12"/>
      <c r="MWS228" s="12"/>
      <c r="MWT228" s="12"/>
      <c r="MWU228" s="12"/>
      <c r="MWV228" s="12"/>
      <c r="MWW228" s="12"/>
      <c r="MWX228" s="12"/>
      <c r="MWY228" s="12"/>
      <c r="MWZ228" s="12"/>
      <c r="MXA228" s="12"/>
      <c r="MXB228" s="12"/>
      <c r="MXC228" s="12"/>
      <c r="MXD228" s="12"/>
      <c r="MXE228" s="12"/>
      <c r="MXF228" s="12"/>
      <c r="MXG228" s="12"/>
      <c r="MXH228" s="12"/>
      <c r="MXI228" s="12"/>
      <c r="MXJ228" s="12"/>
      <c r="MXK228" s="12"/>
      <c r="MXL228" s="12"/>
      <c r="MXM228" s="12"/>
      <c r="MXN228" s="12"/>
      <c r="MXO228" s="12"/>
      <c r="MXP228" s="12"/>
      <c r="MXQ228" s="12"/>
      <c r="MXR228" s="12"/>
      <c r="MXS228" s="12"/>
      <c r="MXT228" s="12"/>
      <c r="MXU228" s="12"/>
      <c r="MXV228" s="12"/>
      <c r="MXW228" s="12"/>
      <c r="MXX228" s="12"/>
      <c r="MXY228" s="12"/>
      <c r="MXZ228" s="12"/>
      <c r="MYA228" s="12"/>
      <c r="MYB228" s="12"/>
      <c r="MYC228" s="12"/>
      <c r="MYD228" s="12"/>
      <c r="MYE228" s="12"/>
      <c r="MYF228" s="12"/>
      <c r="MYG228" s="12"/>
      <c r="MYH228" s="12"/>
      <c r="MYI228" s="12"/>
      <c r="MYJ228" s="12"/>
      <c r="MYK228" s="12"/>
      <c r="MYL228" s="12"/>
      <c r="MYM228" s="12"/>
      <c r="MYN228" s="12"/>
      <c r="MYO228" s="12"/>
      <c r="MYP228" s="12"/>
      <c r="MYQ228" s="12"/>
      <c r="MYR228" s="12"/>
      <c r="MYS228" s="12"/>
      <c r="MYT228" s="12"/>
      <c r="MYU228" s="12"/>
      <c r="MYV228" s="12"/>
      <c r="MYW228" s="12"/>
      <c r="MYX228" s="12"/>
      <c r="MYY228" s="12"/>
      <c r="MYZ228" s="12"/>
      <c r="MZA228" s="12"/>
      <c r="MZB228" s="12"/>
      <c r="MZC228" s="12"/>
      <c r="MZD228" s="12"/>
      <c r="MZE228" s="12"/>
      <c r="MZF228" s="12"/>
      <c r="MZG228" s="12"/>
      <c r="MZH228" s="12"/>
      <c r="MZI228" s="12"/>
      <c r="MZJ228" s="12"/>
      <c r="MZK228" s="12"/>
      <c r="MZL228" s="12"/>
      <c r="MZM228" s="12"/>
      <c r="MZN228" s="12"/>
      <c r="MZO228" s="12"/>
      <c r="MZP228" s="12"/>
      <c r="MZQ228" s="12"/>
      <c r="MZR228" s="12"/>
      <c r="MZS228" s="12"/>
      <c r="MZT228" s="12"/>
      <c r="MZU228" s="12"/>
      <c r="MZV228" s="12"/>
      <c r="MZW228" s="12"/>
      <c r="MZX228" s="12"/>
      <c r="MZY228" s="12"/>
      <c r="MZZ228" s="12"/>
      <c r="NAA228" s="12"/>
      <c r="NAB228" s="12"/>
      <c r="NAC228" s="12"/>
      <c r="NAD228" s="12"/>
      <c r="NAE228" s="12"/>
      <c r="NAF228" s="12"/>
      <c r="NAG228" s="12"/>
      <c r="NAH228" s="12"/>
      <c r="NAI228" s="12"/>
      <c r="NAJ228" s="12"/>
      <c r="NAK228" s="12"/>
      <c r="NAL228" s="12"/>
      <c r="NAM228" s="12"/>
      <c r="NAN228" s="12"/>
      <c r="NAO228" s="12"/>
      <c r="NAP228" s="12"/>
      <c r="NAQ228" s="12"/>
      <c r="NAR228" s="12"/>
      <c r="NAS228" s="12"/>
      <c r="NAT228" s="12"/>
      <c r="NAU228" s="12"/>
      <c r="NAV228" s="12"/>
      <c r="NAW228" s="12"/>
      <c r="NAX228" s="12"/>
      <c r="NAY228" s="12"/>
      <c r="NAZ228" s="12"/>
      <c r="NBA228" s="12"/>
      <c r="NBB228" s="12"/>
      <c r="NBC228" s="12"/>
      <c r="NBD228" s="12"/>
      <c r="NBE228" s="12"/>
      <c r="NBF228" s="12"/>
      <c r="NBG228" s="12"/>
      <c r="NBH228" s="12"/>
      <c r="NBI228" s="12"/>
      <c r="NBJ228" s="12"/>
      <c r="NBK228" s="12"/>
      <c r="NBL228" s="12"/>
      <c r="NBM228" s="12"/>
      <c r="NBN228" s="12"/>
      <c r="NBO228" s="12"/>
      <c r="NBP228" s="12"/>
      <c r="NBQ228" s="12"/>
      <c r="NBR228" s="12"/>
      <c r="NBS228" s="12"/>
      <c r="NBT228" s="12"/>
      <c r="NBU228" s="12"/>
      <c r="NBV228" s="12"/>
      <c r="NBW228" s="12"/>
      <c r="NBX228" s="12"/>
      <c r="NBY228" s="12"/>
      <c r="NBZ228" s="12"/>
      <c r="NCA228" s="12"/>
      <c r="NCB228" s="12"/>
      <c r="NCC228" s="12"/>
      <c r="NCD228" s="12"/>
      <c r="NCE228" s="12"/>
      <c r="NCF228" s="12"/>
      <c r="NCG228" s="12"/>
      <c r="NCH228" s="12"/>
      <c r="NCI228" s="12"/>
      <c r="NCJ228" s="12"/>
      <c r="NCK228" s="12"/>
      <c r="NCL228" s="12"/>
      <c r="NCM228" s="12"/>
      <c r="NCN228" s="12"/>
      <c r="NCO228" s="12"/>
      <c r="NCP228" s="12"/>
      <c r="NCQ228" s="12"/>
      <c r="NCR228" s="12"/>
      <c r="NCS228" s="12"/>
      <c r="NCT228" s="12"/>
      <c r="NCU228" s="12"/>
      <c r="NCV228" s="12"/>
      <c r="NCW228" s="12"/>
      <c r="NCX228" s="12"/>
      <c r="NCY228" s="12"/>
      <c r="NCZ228" s="12"/>
      <c r="NDA228" s="12"/>
      <c r="NDB228" s="12"/>
      <c r="NDC228" s="12"/>
      <c r="NDD228" s="12"/>
      <c r="NDE228" s="12"/>
      <c r="NDF228" s="12"/>
      <c r="NDG228" s="12"/>
      <c r="NDH228" s="12"/>
      <c r="NDI228" s="12"/>
      <c r="NDJ228" s="12"/>
      <c r="NDK228" s="12"/>
      <c r="NDL228" s="12"/>
      <c r="NDM228" s="12"/>
      <c r="NDN228" s="12"/>
      <c r="NDO228" s="12"/>
      <c r="NDP228" s="12"/>
      <c r="NDQ228" s="12"/>
      <c r="NDR228" s="12"/>
      <c r="NDS228" s="12"/>
      <c r="NDT228" s="12"/>
      <c r="NDU228" s="12"/>
      <c r="NDV228" s="12"/>
      <c r="NDW228" s="12"/>
      <c r="NDX228" s="12"/>
      <c r="NDY228" s="12"/>
      <c r="NDZ228" s="12"/>
      <c r="NEA228" s="12"/>
      <c r="NEB228" s="12"/>
      <c r="NEC228" s="12"/>
      <c r="NED228" s="12"/>
      <c r="NEE228" s="12"/>
      <c r="NEF228" s="12"/>
      <c r="NEG228" s="12"/>
      <c r="NEH228" s="12"/>
      <c r="NEI228" s="12"/>
      <c r="NEJ228" s="12"/>
      <c r="NEK228" s="12"/>
      <c r="NEL228" s="12"/>
      <c r="NEM228" s="12"/>
      <c r="NEN228" s="12"/>
      <c r="NEO228" s="12"/>
      <c r="NEP228" s="12"/>
      <c r="NEQ228" s="12"/>
      <c r="NER228" s="12"/>
      <c r="NES228" s="12"/>
      <c r="NET228" s="12"/>
      <c r="NEU228" s="12"/>
      <c r="NEV228" s="12"/>
      <c r="NEW228" s="12"/>
      <c r="NEX228" s="12"/>
      <c r="NEY228" s="12"/>
      <c r="NEZ228" s="12"/>
      <c r="NFA228" s="12"/>
      <c r="NFB228" s="12"/>
      <c r="NFC228" s="12"/>
      <c r="NFD228" s="12"/>
      <c r="NFE228" s="12"/>
      <c r="NFF228" s="12"/>
      <c r="NFG228" s="12"/>
      <c r="NFH228" s="12"/>
      <c r="NFI228" s="12"/>
      <c r="NFJ228" s="12"/>
      <c r="NFK228" s="12"/>
      <c r="NFL228" s="12"/>
      <c r="NFM228" s="12"/>
      <c r="NFN228" s="12"/>
      <c r="NFO228" s="12"/>
      <c r="NFP228" s="12"/>
      <c r="NFQ228" s="12"/>
      <c r="NFR228" s="12"/>
      <c r="NFS228" s="12"/>
      <c r="NFT228" s="12"/>
      <c r="NFU228" s="12"/>
      <c r="NFV228" s="12"/>
      <c r="NFW228" s="12"/>
      <c r="NFX228" s="12"/>
      <c r="NFY228" s="12"/>
      <c r="NFZ228" s="12"/>
      <c r="NGA228" s="12"/>
      <c r="NGB228" s="12"/>
      <c r="NGC228" s="12"/>
      <c r="NGD228" s="12"/>
      <c r="NGE228" s="12"/>
      <c r="NGF228" s="12"/>
      <c r="NGG228" s="12"/>
      <c r="NGH228" s="12"/>
      <c r="NGI228" s="12"/>
      <c r="NGJ228" s="12"/>
      <c r="NGK228" s="12"/>
      <c r="NGL228" s="12"/>
      <c r="NGM228" s="12"/>
      <c r="NGN228" s="12"/>
      <c r="NGO228" s="12"/>
      <c r="NGP228" s="12"/>
      <c r="NGQ228" s="12"/>
      <c r="NGR228" s="12"/>
      <c r="NGS228" s="12"/>
      <c r="NGT228" s="12"/>
      <c r="NGU228" s="12"/>
      <c r="NGV228" s="12"/>
      <c r="NGW228" s="12"/>
      <c r="NGX228" s="12"/>
      <c r="NGY228" s="12"/>
      <c r="NGZ228" s="12"/>
      <c r="NHA228" s="12"/>
      <c r="NHB228" s="12"/>
      <c r="NHC228" s="12"/>
      <c r="NHD228" s="12"/>
      <c r="NHE228" s="12"/>
      <c r="NHF228" s="12"/>
      <c r="NHG228" s="12"/>
      <c r="NHH228" s="12"/>
      <c r="NHI228" s="12"/>
      <c r="NHJ228" s="12"/>
      <c r="NHK228" s="12"/>
      <c r="NHL228" s="12"/>
      <c r="NHM228" s="12"/>
      <c r="NHN228" s="12"/>
      <c r="NHO228" s="12"/>
      <c r="NHP228" s="12"/>
      <c r="NHQ228" s="12"/>
      <c r="NHR228" s="12"/>
      <c r="NHS228" s="12"/>
      <c r="NHT228" s="12"/>
      <c r="NHU228" s="12"/>
      <c r="NHV228" s="12"/>
      <c r="NHW228" s="12"/>
      <c r="NHX228" s="12"/>
      <c r="NHY228" s="12"/>
      <c r="NHZ228" s="12"/>
      <c r="NIA228" s="12"/>
      <c r="NIB228" s="12"/>
      <c r="NIC228" s="12"/>
      <c r="NID228" s="12"/>
      <c r="NIE228" s="12"/>
      <c r="NIF228" s="12"/>
      <c r="NIG228" s="12"/>
      <c r="NIH228" s="12"/>
      <c r="NII228" s="12"/>
      <c r="NIJ228" s="12"/>
      <c r="NIK228" s="12"/>
      <c r="NIL228" s="12"/>
      <c r="NIM228" s="12"/>
      <c r="NIN228" s="12"/>
      <c r="NIO228" s="12"/>
      <c r="NIP228" s="12"/>
      <c r="NIQ228" s="12"/>
      <c r="NIR228" s="12"/>
      <c r="NIS228" s="12"/>
      <c r="NIT228" s="12"/>
      <c r="NIU228" s="12"/>
      <c r="NIV228" s="12"/>
      <c r="NIW228" s="12"/>
      <c r="NIX228" s="12"/>
      <c r="NIY228" s="12"/>
      <c r="NIZ228" s="12"/>
      <c r="NJA228" s="12"/>
      <c r="NJB228" s="12"/>
      <c r="NJC228" s="12"/>
      <c r="NJD228" s="12"/>
      <c r="NJE228" s="12"/>
      <c r="NJF228" s="12"/>
      <c r="NJG228" s="12"/>
      <c r="NJH228" s="12"/>
      <c r="NJI228" s="12"/>
      <c r="NJJ228" s="12"/>
      <c r="NJK228" s="12"/>
      <c r="NJL228" s="12"/>
      <c r="NJM228" s="12"/>
      <c r="NJN228" s="12"/>
      <c r="NJO228" s="12"/>
      <c r="NJP228" s="12"/>
      <c r="NJQ228" s="12"/>
      <c r="NJR228" s="12"/>
      <c r="NJS228" s="12"/>
      <c r="NJT228" s="12"/>
      <c r="NJU228" s="12"/>
      <c r="NJV228" s="12"/>
      <c r="NJW228" s="12"/>
      <c r="NJX228" s="12"/>
      <c r="NJY228" s="12"/>
      <c r="NJZ228" s="12"/>
      <c r="NKA228" s="12"/>
      <c r="NKB228" s="12"/>
      <c r="NKC228" s="12"/>
      <c r="NKD228" s="12"/>
      <c r="NKE228" s="12"/>
      <c r="NKF228" s="12"/>
      <c r="NKG228" s="12"/>
      <c r="NKH228" s="12"/>
      <c r="NKI228" s="12"/>
      <c r="NKJ228" s="12"/>
      <c r="NKK228" s="12"/>
      <c r="NKL228" s="12"/>
      <c r="NKM228" s="12"/>
      <c r="NKN228" s="12"/>
      <c r="NKO228" s="12"/>
      <c r="NKP228" s="12"/>
      <c r="NKQ228" s="12"/>
      <c r="NKR228" s="12"/>
      <c r="NKS228" s="12"/>
      <c r="NKT228" s="12"/>
      <c r="NKU228" s="12"/>
      <c r="NKV228" s="12"/>
      <c r="NKW228" s="12"/>
      <c r="NKX228" s="12"/>
      <c r="NKY228" s="12"/>
      <c r="NKZ228" s="12"/>
      <c r="NLA228" s="12"/>
      <c r="NLB228" s="12"/>
      <c r="NLC228" s="12"/>
      <c r="NLD228" s="12"/>
      <c r="NLE228" s="12"/>
      <c r="NLF228" s="12"/>
      <c r="NLG228" s="12"/>
      <c r="NLH228" s="12"/>
      <c r="NLI228" s="12"/>
      <c r="NLJ228" s="12"/>
      <c r="NLK228" s="12"/>
      <c r="NLL228" s="12"/>
      <c r="NLM228" s="12"/>
      <c r="NLN228" s="12"/>
      <c r="NLO228" s="12"/>
      <c r="NLP228" s="12"/>
      <c r="NLQ228" s="12"/>
      <c r="NLR228" s="12"/>
      <c r="NLS228" s="12"/>
      <c r="NLT228" s="12"/>
      <c r="NLU228" s="12"/>
      <c r="NLV228" s="12"/>
      <c r="NLW228" s="12"/>
      <c r="NLX228" s="12"/>
      <c r="NLY228" s="12"/>
      <c r="NLZ228" s="12"/>
      <c r="NMA228" s="12"/>
      <c r="NMB228" s="12"/>
      <c r="NMC228" s="12"/>
      <c r="NMD228" s="12"/>
      <c r="NME228" s="12"/>
      <c r="NMF228" s="12"/>
      <c r="NMG228" s="12"/>
      <c r="NMH228" s="12"/>
      <c r="NMI228" s="12"/>
      <c r="NMJ228" s="12"/>
      <c r="NMK228" s="12"/>
      <c r="NML228" s="12"/>
      <c r="NMM228" s="12"/>
      <c r="NMN228" s="12"/>
      <c r="NMO228" s="12"/>
      <c r="NMP228" s="12"/>
      <c r="NMQ228" s="12"/>
      <c r="NMR228" s="12"/>
      <c r="NMS228" s="12"/>
      <c r="NMT228" s="12"/>
      <c r="NMU228" s="12"/>
      <c r="NMV228" s="12"/>
      <c r="NMW228" s="12"/>
      <c r="NMX228" s="12"/>
      <c r="NMY228" s="12"/>
      <c r="NMZ228" s="12"/>
      <c r="NNA228" s="12"/>
      <c r="NNB228" s="12"/>
      <c r="NNC228" s="12"/>
      <c r="NND228" s="12"/>
      <c r="NNE228" s="12"/>
      <c r="NNF228" s="12"/>
      <c r="NNG228" s="12"/>
      <c r="NNH228" s="12"/>
      <c r="NNI228" s="12"/>
      <c r="NNJ228" s="12"/>
      <c r="NNK228" s="12"/>
      <c r="NNL228" s="12"/>
      <c r="NNM228" s="12"/>
      <c r="NNN228" s="12"/>
      <c r="NNO228" s="12"/>
      <c r="NNP228" s="12"/>
      <c r="NNQ228" s="12"/>
      <c r="NNR228" s="12"/>
      <c r="NNS228" s="12"/>
      <c r="NNT228" s="12"/>
      <c r="NNU228" s="12"/>
      <c r="NNV228" s="12"/>
      <c r="NNW228" s="12"/>
      <c r="NNX228" s="12"/>
      <c r="NNY228" s="12"/>
      <c r="NNZ228" s="12"/>
      <c r="NOA228" s="12"/>
      <c r="NOB228" s="12"/>
      <c r="NOC228" s="12"/>
      <c r="NOD228" s="12"/>
      <c r="NOE228" s="12"/>
      <c r="NOF228" s="12"/>
      <c r="NOG228" s="12"/>
      <c r="NOH228" s="12"/>
      <c r="NOI228" s="12"/>
      <c r="NOJ228" s="12"/>
      <c r="NOK228" s="12"/>
      <c r="NOL228" s="12"/>
      <c r="NOM228" s="12"/>
      <c r="NON228" s="12"/>
      <c r="NOO228" s="12"/>
      <c r="NOP228" s="12"/>
      <c r="NOQ228" s="12"/>
      <c r="NOR228" s="12"/>
      <c r="NOS228" s="12"/>
      <c r="NOT228" s="12"/>
      <c r="NOU228" s="12"/>
      <c r="NOV228" s="12"/>
      <c r="NOW228" s="12"/>
      <c r="NOX228" s="12"/>
      <c r="NOY228" s="12"/>
      <c r="NOZ228" s="12"/>
      <c r="NPA228" s="12"/>
      <c r="NPB228" s="12"/>
      <c r="NPC228" s="12"/>
      <c r="NPD228" s="12"/>
      <c r="NPE228" s="12"/>
      <c r="NPF228" s="12"/>
      <c r="NPG228" s="12"/>
      <c r="NPH228" s="12"/>
      <c r="NPI228" s="12"/>
      <c r="NPJ228" s="12"/>
      <c r="NPK228" s="12"/>
      <c r="NPL228" s="12"/>
      <c r="NPM228" s="12"/>
      <c r="NPN228" s="12"/>
      <c r="NPO228" s="12"/>
      <c r="NPP228" s="12"/>
      <c r="NPQ228" s="12"/>
      <c r="NPR228" s="12"/>
      <c r="NPS228" s="12"/>
      <c r="NPT228" s="12"/>
      <c r="NPU228" s="12"/>
      <c r="NPV228" s="12"/>
      <c r="NPW228" s="12"/>
      <c r="NPX228" s="12"/>
      <c r="NPY228" s="12"/>
      <c r="NPZ228" s="12"/>
      <c r="NQA228" s="12"/>
      <c r="NQB228" s="12"/>
      <c r="NQC228" s="12"/>
      <c r="NQD228" s="12"/>
      <c r="NQE228" s="12"/>
      <c r="NQF228" s="12"/>
      <c r="NQG228" s="12"/>
      <c r="NQH228" s="12"/>
      <c r="NQI228" s="12"/>
      <c r="NQJ228" s="12"/>
      <c r="NQK228" s="12"/>
      <c r="NQL228" s="12"/>
      <c r="NQM228" s="12"/>
      <c r="NQN228" s="12"/>
      <c r="NQO228" s="12"/>
      <c r="NQP228" s="12"/>
      <c r="NQQ228" s="12"/>
      <c r="NQR228" s="12"/>
      <c r="NQS228" s="12"/>
      <c r="NQT228" s="12"/>
      <c r="NQU228" s="12"/>
      <c r="NQV228" s="12"/>
      <c r="NQW228" s="12"/>
      <c r="NQX228" s="12"/>
      <c r="NQY228" s="12"/>
      <c r="NQZ228" s="12"/>
      <c r="NRA228" s="12"/>
      <c r="NRB228" s="12"/>
      <c r="NRC228" s="12"/>
      <c r="NRD228" s="12"/>
      <c r="NRE228" s="12"/>
      <c r="NRF228" s="12"/>
      <c r="NRG228" s="12"/>
      <c r="NRH228" s="12"/>
      <c r="NRI228" s="12"/>
      <c r="NRJ228" s="12"/>
      <c r="NRK228" s="12"/>
      <c r="NRL228" s="12"/>
      <c r="NRM228" s="12"/>
      <c r="NRN228" s="12"/>
      <c r="NRO228" s="12"/>
      <c r="NRP228" s="12"/>
      <c r="NRQ228" s="12"/>
      <c r="NRR228" s="12"/>
      <c r="NRS228" s="12"/>
      <c r="NRT228" s="12"/>
      <c r="NRU228" s="12"/>
      <c r="NRV228" s="12"/>
      <c r="NRW228" s="12"/>
      <c r="NRX228" s="12"/>
      <c r="NRY228" s="12"/>
      <c r="NRZ228" s="12"/>
      <c r="NSA228" s="12"/>
      <c r="NSB228" s="12"/>
      <c r="NSC228" s="12"/>
      <c r="NSD228" s="12"/>
      <c r="NSE228" s="12"/>
      <c r="NSF228" s="12"/>
      <c r="NSG228" s="12"/>
      <c r="NSH228" s="12"/>
      <c r="NSI228" s="12"/>
      <c r="NSJ228" s="12"/>
      <c r="NSK228" s="12"/>
      <c r="NSL228" s="12"/>
      <c r="NSM228" s="12"/>
      <c r="NSN228" s="12"/>
      <c r="NSO228" s="12"/>
      <c r="NSP228" s="12"/>
      <c r="NSQ228" s="12"/>
      <c r="NSR228" s="12"/>
      <c r="NSS228" s="12"/>
      <c r="NST228" s="12"/>
      <c r="NSU228" s="12"/>
      <c r="NSV228" s="12"/>
      <c r="NSW228" s="12"/>
      <c r="NSX228" s="12"/>
      <c r="NSY228" s="12"/>
      <c r="NSZ228" s="12"/>
      <c r="NTA228" s="12"/>
      <c r="NTB228" s="12"/>
      <c r="NTC228" s="12"/>
      <c r="NTD228" s="12"/>
      <c r="NTE228" s="12"/>
      <c r="NTF228" s="12"/>
      <c r="NTG228" s="12"/>
      <c r="NTH228" s="12"/>
      <c r="NTI228" s="12"/>
      <c r="NTJ228" s="12"/>
      <c r="NTK228" s="12"/>
      <c r="NTL228" s="12"/>
      <c r="NTM228" s="12"/>
      <c r="NTN228" s="12"/>
      <c r="NTO228" s="12"/>
      <c r="NTP228" s="12"/>
      <c r="NTQ228" s="12"/>
      <c r="NTR228" s="12"/>
      <c r="NTS228" s="12"/>
      <c r="NTT228" s="12"/>
      <c r="NTU228" s="12"/>
      <c r="NTV228" s="12"/>
      <c r="NTW228" s="12"/>
      <c r="NTX228" s="12"/>
      <c r="NTY228" s="12"/>
      <c r="NTZ228" s="12"/>
      <c r="NUA228" s="12"/>
      <c r="NUB228" s="12"/>
      <c r="NUC228" s="12"/>
      <c r="NUD228" s="12"/>
      <c r="NUE228" s="12"/>
      <c r="NUF228" s="12"/>
      <c r="NUG228" s="12"/>
      <c r="NUH228" s="12"/>
      <c r="NUI228" s="12"/>
      <c r="NUJ228" s="12"/>
      <c r="NUK228" s="12"/>
      <c r="NUL228" s="12"/>
      <c r="NUM228" s="12"/>
      <c r="NUN228" s="12"/>
      <c r="NUO228" s="12"/>
      <c r="NUP228" s="12"/>
      <c r="NUQ228" s="12"/>
      <c r="NUR228" s="12"/>
      <c r="NUS228" s="12"/>
      <c r="NUT228" s="12"/>
      <c r="NUU228" s="12"/>
      <c r="NUV228" s="12"/>
      <c r="NUW228" s="12"/>
      <c r="NUX228" s="12"/>
      <c r="NUY228" s="12"/>
      <c r="NUZ228" s="12"/>
      <c r="NVA228" s="12"/>
      <c r="NVB228" s="12"/>
      <c r="NVC228" s="12"/>
      <c r="NVD228" s="12"/>
      <c r="NVE228" s="12"/>
      <c r="NVF228" s="12"/>
      <c r="NVG228" s="12"/>
      <c r="NVH228" s="12"/>
      <c r="NVI228" s="12"/>
      <c r="NVJ228" s="12"/>
      <c r="NVK228" s="12"/>
      <c r="NVL228" s="12"/>
      <c r="NVM228" s="12"/>
      <c r="NVN228" s="12"/>
      <c r="NVO228" s="12"/>
      <c r="NVP228" s="12"/>
      <c r="NVQ228" s="12"/>
      <c r="NVR228" s="12"/>
      <c r="NVS228" s="12"/>
      <c r="NVT228" s="12"/>
      <c r="NVU228" s="12"/>
      <c r="NVV228" s="12"/>
      <c r="NVW228" s="12"/>
      <c r="NVX228" s="12"/>
      <c r="NVY228" s="12"/>
      <c r="NVZ228" s="12"/>
      <c r="NWA228" s="12"/>
      <c r="NWB228" s="12"/>
      <c r="NWC228" s="12"/>
      <c r="NWD228" s="12"/>
      <c r="NWE228" s="12"/>
      <c r="NWF228" s="12"/>
      <c r="NWG228" s="12"/>
      <c r="NWH228" s="12"/>
      <c r="NWI228" s="12"/>
      <c r="NWJ228" s="12"/>
      <c r="NWK228" s="12"/>
      <c r="NWL228" s="12"/>
      <c r="NWM228" s="12"/>
      <c r="NWN228" s="12"/>
      <c r="NWO228" s="12"/>
      <c r="NWP228" s="12"/>
      <c r="NWQ228" s="12"/>
      <c r="NWR228" s="12"/>
      <c r="NWS228" s="12"/>
      <c r="NWT228" s="12"/>
      <c r="NWU228" s="12"/>
      <c r="NWV228" s="12"/>
      <c r="NWW228" s="12"/>
      <c r="NWX228" s="12"/>
      <c r="NWY228" s="12"/>
      <c r="NWZ228" s="12"/>
      <c r="NXA228" s="12"/>
      <c r="NXB228" s="12"/>
      <c r="NXC228" s="12"/>
      <c r="NXD228" s="12"/>
      <c r="NXE228" s="12"/>
      <c r="NXF228" s="12"/>
      <c r="NXG228" s="12"/>
      <c r="NXH228" s="12"/>
      <c r="NXI228" s="12"/>
      <c r="NXJ228" s="12"/>
      <c r="NXK228" s="12"/>
      <c r="NXL228" s="12"/>
      <c r="NXM228" s="12"/>
      <c r="NXN228" s="12"/>
      <c r="NXO228" s="12"/>
      <c r="NXP228" s="12"/>
      <c r="NXQ228" s="12"/>
      <c r="NXR228" s="12"/>
      <c r="NXS228" s="12"/>
      <c r="NXT228" s="12"/>
      <c r="NXU228" s="12"/>
      <c r="NXV228" s="12"/>
      <c r="NXW228" s="12"/>
      <c r="NXX228" s="12"/>
      <c r="NXY228" s="12"/>
      <c r="NXZ228" s="12"/>
      <c r="NYA228" s="12"/>
      <c r="NYB228" s="12"/>
      <c r="NYC228" s="12"/>
      <c r="NYD228" s="12"/>
      <c r="NYE228" s="12"/>
      <c r="NYF228" s="12"/>
      <c r="NYG228" s="12"/>
      <c r="NYH228" s="12"/>
      <c r="NYI228" s="12"/>
      <c r="NYJ228" s="12"/>
      <c r="NYK228" s="12"/>
      <c r="NYL228" s="12"/>
      <c r="NYM228" s="12"/>
      <c r="NYN228" s="12"/>
      <c r="NYO228" s="12"/>
      <c r="NYP228" s="12"/>
      <c r="NYQ228" s="12"/>
      <c r="NYR228" s="12"/>
      <c r="NYS228" s="12"/>
      <c r="NYT228" s="12"/>
      <c r="NYU228" s="12"/>
      <c r="NYV228" s="12"/>
      <c r="NYW228" s="12"/>
      <c r="NYX228" s="12"/>
      <c r="NYY228" s="12"/>
      <c r="NYZ228" s="12"/>
      <c r="NZA228" s="12"/>
      <c r="NZB228" s="12"/>
      <c r="NZC228" s="12"/>
      <c r="NZD228" s="12"/>
      <c r="NZE228" s="12"/>
      <c r="NZF228" s="12"/>
      <c r="NZG228" s="12"/>
      <c r="NZH228" s="12"/>
      <c r="NZI228" s="12"/>
      <c r="NZJ228" s="12"/>
      <c r="NZK228" s="12"/>
      <c r="NZL228" s="12"/>
      <c r="NZM228" s="12"/>
      <c r="NZN228" s="12"/>
      <c r="NZO228" s="12"/>
      <c r="NZP228" s="12"/>
      <c r="NZQ228" s="12"/>
      <c r="NZR228" s="12"/>
      <c r="NZS228" s="12"/>
      <c r="NZT228" s="12"/>
      <c r="NZU228" s="12"/>
      <c r="NZV228" s="12"/>
      <c r="NZW228" s="12"/>
      <c r="NZX228" s="12"/>
      <c r="NZY228" s="12"/>
      <c r="NZZ228" s="12"/>
      <c r="OAA228" s="12"/>
      <c r="OAB228" s="12"/>
      <c r="OAC228" s="12"/>
      <c r="OAD228" s="12"/>
      <c r="OAE228" s="12"/>
      <c r="OAF228" s="12"/>
      <c r="OAG228" s="12"/>
      <c r="OAH228" s="12"/>
      <c r="OAI228" s="12"/>
      <c r="OAJ228" s="12"/>
      <c r="OAK228" s="12"/>
      <c r="OAL228" s="12"/>
      <c r="OAM228" s="12"/>
      <c r="OAN228" s="12"/>
      <c r="OAO228" s="12"/>
      <c r="OAP228" s="12"/>
      <c r="OAQ228" s="12"/>
      <c r="OAR228" s="12"/>
      <c r="OAS228" s="12"/>
      <c r="OAT228" s="12"/>
      <c r="OAU228" s="12"/>
      <c r="OAV228" s="12"/>
      <c r="OAW228" s="12"/>
      <c r="OAX228" s="12"/>
      <c r="OAY228" s="12"/>
      <c r="OAZ228" s="12"/>
      <c r="OBA228" s="12"/>
      <c r="OBB228" s="12"/>
      <c r="OBC228" s="12"/>
      <c r="OBD228" s="12"/>
      <c r="OBE228" s="12"/>
      <c r="OBF228" s="12"/>
      <c r="OBG228" s="12"/>
      <c r="OBH228" s="12"/>
      <c r="OBI228" s="12"/>
      <c r="OBJ228" s="12"/>
      <c r="OBK228" s="12"/>
      <c r="OBL228" s="12"/>
      <c r="OBM228" s="12"/>
      <c r="OBN228" s="12"/>
      <c r="OBO228" s="12"/>
      <c r="OBP228" s="12"/>
      <c r="OBQ228" s="12"/>
      <c r="OBR228" s="12"/>
      <c r="OBS228" s="12"/>
      <c r="OBT228" s="12"/>
      <c r="OBU228" s="12"/>
      <c r="OBV228" s="12"/>
      <c r="OBW228" s="12"/>
      <c r="OBX228" s="12"/>
      <c r="OBY228" s="12"/>
      <c r="OBZ228" s="12"/>
      <c r="OCA228" s="12"/>
      <c r="OCB228" s="12"/>
      <c r="OCC228" s="12"/>
      <c r="OCD228" s="12"/>
      <c r="OCE228" s="12"/>
      <c r="OCF228" s="12"/>
      <c r="OCG228" s="12"/>
      <c r="OCH228" s="12"/>
      <c r="OCI228" s="12"/>
      <c r="OCJ228" s="12"/>
      <c r="OCK228" s="12"/>
      <c r="OCL228" s="12"/>
      <c r="OCM228" s="12"/>
      <c r="OCN228" s="12"/>
      <c r="OCO228" s="12"/>
      <c r="OCP228" s="12"/>
      <c r="OCQ228" s="12"/>
      <c r="OCR228" s="12"/>
      <c r="OCS228" s="12"/>
      <c r="OCT228" s="12"/>
      <c r="OCU228" s="12"/>
      <c r="OCV228" s="12"/>
      <c r="OCW228" s="12"/>
      <c r="OCX228" s="12"/>
      <c r="OCY228" s="12"/>
      <c r="OCZ228" s="12"/>
      <c r="ODA228" s="12"/>
      <c r="ODB228" s="12"/>
      <c r="ODC228" s="12"/>
      <c r="ODD228" s="12"/>
      <c r="ODE228" s="12"/>
      <c r="ODF228" s="12"/>
      <c r="ODG228" s="12"/>
      <c r="ODH228" s="12"/>
      <c r="ODI228" s="12"/>
      <c r="ODJ228" s="12"/>
      <c r="ODK228" s="12"/>
      <c r="ODL228" s="12"/>
      <c r="ODM228" s="12"/>
      <c r="ODN228" s="12"/>
      <c r="ODO228" s="12"/>
      <c r="ODP228" s="12"/>
      <c r="ODQ228" s="12"/>
      <c r="ODR228" s="12"/>
      <c r="ODS228" s="12"/>
      <c r="ODT228" s="12"/>
      <c r="ODU228" s="12"/>
      <c r="ODV228" s="12"/>
      <c r="ODW228" s="12"/>
      <c r="ODX228" s="12"/>
      <c r="ODY228" s="12"/>
      <c r="ODZ228" s="12"/>
      <c r="OEA228" s="12"/>
      <c r="OEB228" s="12"/>
      <c r="OEC228" s="12"/>
      <c r="OED228" s="12"/>
      <c r="OEE228" s="12"/>
      <c r="OEF228" s="12"/>
      <c r="OEG228" s="12"/>
      <c r="OEH228" s="12"/>
      <c r="OEI228" s="12"/>
      <c r="OEJ228" s="12"/>
      <c r="OEK228" s="12"/>
      <c r="OEL228" s="12"/>
      <c r="OEM228" s="12"/>
      <c r="OEN228" s="12"/>
      <c r="OEO228" s="12"/>
      <c r="OEP228" s="12"/>
      <c r="OEQ228" s="12"/>
      <c r="OER228" s="12"/>
      <c r="OES228" s="12"/>
      <c r="OET228" s="12"/>
      <c r="OEU228" s="12"/>
      <c r="OEV228" s="12"/>
      <c r="OEW228" s="12"/>
      <c r="OEX228" s="12"/>
      <c r="OEY228" s="12"/>
      <c r="OEZ228" s="12"/>
      <c r="OFA228" s="12"/>
      <c r="OFB228" s="12"/>
      <c r="OFC228" s="12"/>
      <c r="OFD228" s="12"/>
      <c r="OFE228" s="12"/>
      <c r="OFF228" s="12"/>
      <c r="OFG228" s="12"/>
      <c r="OFH228" s="12"/>
      <c r="OFI228" s="12"/>
      <c r="OFJ228" s="12"/>
      <c r="OFK228" s="12"/>
      <c r="OFL228" s="12"/>
      <c r="OFM228" s="12"/>
      <c r="OFN228" s="12"/>
      <c r="OFO228" s="12"/>
      <c r="OFP228" s="12"/>
      <c r="OFQ228" s="12"/>
      <c r="OFR228" s="12"/>
      <c r="OFS228" s="12"/>
      <c r="OFT228" s="12"/>
      <c r="OFU228" s="12"/>
      <c r="OFV228" s="12"/>
      <c r="OFW228" s="12"/>
      <c r="OFX228" s="12"/>
      <c r="OFY228" s="12"/>
      <c r="OFZ228" s="12"/>
      <c r="OGA228" s="12"/>
      <c r="OGB228" s="12"/>
      <c r="OGC228" s="12"/>
      <c r="OGD228" s="12"/>
      <c r="OGE228" s="12"/>
      <c r="OGF228" s="12"/>
      <c r="OGG228" s="12"/>
      <c r="OGH228" s="12"/>
      <c r="OGI228" s="12"/>
      <c r="OGJ228" s="12"/>
      <c r="OGK228" s="12"/>
      <c r="OGL228" s="12"/>
      <c r="OGM228" s="12"/>
      <c r="OGN228" s="12"/>
      <c r="OGO228" s="12"/>
      <c r="OGP228" s="12"/>
      <c r="OGQ228" s="12"/>
      <c r="OGR228" s="12"/>
      <c r="OGS228" s="12"/>
      <c r="OGT228" s="12"/>
      <c r="OGU228" s="12"/>
      <c r="OGV228" s="12"/>
      <c r="OGW228" s="12"/>
      <c r="OGX228" s="12"/>
      <c r="OGY228" s="12"/>
      <c r="OGZ228" s="12"/>
      <c r="OHA228" s="12"/>
      <c r="OHB228" s="12"/>
      <c r="OHC228" s="12"/>
      <c r="OHD228" s="12"/>
      <c r="OHE228" s="12"/>
      <c r="OHF228" s="12"/>
      <c r="OHG228" s="12"/>
      <c r="OHH228" s="12"/>
      <c r="OHI228" s="12"/>
      <c r="OHJ228" s="12"/>
      <c r="OHK228" s="12"/>
      <c r="OHL228" s="12"/>
      <c r="OHM228" s="12"/>
      <c r="OHN228" s="12"/>
      <c r="OHO228" s="12"/>
      <c r="OHP228" s="12"/>
      <c r="OHQ228" s="12"/>
      <c r="OHR228" s="12"/>
      <c r="OHS228" s="12"/>
      <c r="OHT228" s="12"/>
      <c r="OHU228" s="12"/>
      <c r="OHV228" s="12"/>
      <c r="OHW228" s="12"/>
      <c r="OHX228" s="12"/>
      <c r="OHY228" s="12"/>
      <c r="OHZ228" s="12"/>
      <c r="OIA228" s="12"/>
      <c r="OIB228" s="12"/>
      <c r="OIC228" s="12"/>
      <c r="OID228" s="12"/>
      <c r="OIE228" s="12"/>
      <c r="OIF228" s="12"/>
      <c r="OIG228" s="12"/>
      <c r="OIH228" s="12"/>
      <c r="OII228" s="12"/>
      <c r="OIJ228" s="12"/>
      <c r="OIK228" s="12"/>
      <c r="OIL228" s="12"/>
      <c r="OIM228" s="12"/>
      <c r="OIN228" s="12"/>
      <c r="OIO228" s="12"/>
      <c r="OIP228" s="12"/>
      <c r="OIQ228" s="12"/>
      <c r="OIR228" s="12"/>
      <c r="OIS228" s="12"/>
      <c r="OIT228" s="12"/>
      <c r="OIU228" s="12"/>
      <c r="OIV228" s="12"/>
      <c r="OIW228" s="12"/>
      <c r="OIX228" s="12"/>
      <c r="OIY228" s="12"/>
      <c r="OIZ228" s="12"/>
      <c r="OJA228" s="12"/>
      <c r="OJB228" s="12"/>
      <c r="OJC228" s="12"/>
      <c r="OJD228" s="12"/>
      <c r="OJE228" s="12"/>
      <c r="OJF228" s="12"/>
      <c r="OJG228" s="12"/>
      <c r="OJH228" s="12"/>
      <c r="OJI228" s="12"/>
      <c r="OJJ228" s="12"/>
      <c r="OJK228" s="12"/>
      <c r="OJL228" s="12"/>
      <c r="OJM228" s="12"/>
      <c r="OJN228" s="12"/>
      <c r="OJO228" s="12"/>
      <c r="OJP228" s="12"/>
      <c r="OJQ228" s="12"/>
      <c r="OJR228" s="12"/>
      <c r="OJS228" s="12"/>
      <c r="OJT228" s="12"/>
      <c r="OJU228" s="12"/>
      <c r="OJV228" s="12"/>
      <c r="OJW228" s="12"/>
      <c r="OJX228" s="12"/>
      <c r="OJY228" s="12"/>
      <c r="OJZ228" s="12"/>
      <c r="OKA228" s="12"/>
      <c r="OKB228" s="12"/>
      <c r="OKC228" s="12"/>
      <c r="OKD228" s="12"/>
      <c r="OKE228" s="12"/>
      <c r="OKF228" s="12"/>
      <c r="OKG228" s="12"/>
      <c r="OKH228" s="12"/>
      <c r="OKI228" s="12"/>
      <c r="OKJ228" s="12"/>
      <c r="OKK228" s="12"/>
      <c r="OKL228" s="12"/>
      <c r="OKM228" s="12"/>
      <c r="OKN228" s="12"/>
      <c r="OKO228" s="12"/>
      <c r="OKP228" s="12"/>
      <c r="OKQ228" s="12"/>
      <c r="OKR228" s="12"/>
      <c r="OKS228" s="12"/>
      <c r="OKT228" s="12"/>
      <c r="OKU228" s="12"/>
      <c r="OKV228" s="12"/>
      <c r="OKW228" s="12"/>
      <c r="OKX228" s="12"/>
      <c r="OKY228" s="12"/>
      <c r="OKZ228" s="12"/>
      <c r="OLA228" s="12"/>
      <c r="OLB228" s="12"/>
      <c r="OLC228" s="12"/>
      <c r="OLD228" s="12"/>
      <c r="OLE228" s="12"/>
      <c r="OLF228" s="12"/>
      <c r="OLG228" s="12"/>
      <c r="OLH228" s="12"/>
      <c r="OLI228" s="12"/>
      <c r="OLJ228" s="12"/>
      <c r="OLK228" s="12"/>
      <c r="OLL228" s="12"/>
      <c r="OLM228" s="12"/>
      <c r="OLN228" s="12"/>
      <c r="OLO228" s="12"/>
      <c r="OLP228" s="12"/>
      <c r="OLQ228" s="12"/>
      <c r="OLR228" s="12"/>
      <c r="OLS228" s="12"/>
      <c r="OLT228" s="12"/>
      <c r="OLU228" s="12"/>
      <c r="OLV228" s="12"/>
      <c r="OLW228" s="12"/>
      <c r="OLX228" s="12"/>
      <c r="OLY228" s="12"/>
      <c r="OLZ228" s="12"/>
      <c r="OMA228" s="12"/>
      <c r="OMB228" s="12"/>
      <c r="OMC228" s="12"/>
      <c r="OMD228" s="12"/>
      <c r="OME228" s="12"/>
      <c r="OMF228" s="12"/>
      <c r="OMG228" s="12"/>
      <c r="OMH228" s="12"/>
      <c r="OMI228" s="12"/>
      <c r="OMJ228" s="12"/>
      <c r="OMK228" s="12"/>
      <c r="OML228" s="12"/>
      <c r="OMM228" s="12"/>
      <c r="OMN228" s="12"/>
      <c r="OMO228" s="12"/>
      <c r="OMP228" s="12"/>
      <c r="OMQ228" s="12"/>
      <c r="OMR228" s="12"/>
      <c r="OMS228" s="12"/>
      <c r="OMT228" s="12"/>
      <c r="OMU228" s="12"/>
      <c r="OMV228" s="12"/>
      <c r="OMW228" s="12"/>
      <c r="OMX228" s="12"/>
      <c r="OMY228" s="12"/>
      <c r="OMZ228" s="12"/>
      <c r="ONA228" s="12"/>
      <c r="ONB228" s="12"/>
      <c r="ONC228" s="12"/>
      <c r="OND228" s="12"/>
      <c r="ONE228" s="12"/>
      <c r="ONF228" s="12"/>
      <c r="ONG228" s="12"/>
      <c r="ONH228" s="12"/>
      <c r="ONI228" s="12"/>
      <c r="ONJ228" s="12"/>
      <c r="ONK228" s="12"/>
      <c r="ONL228" s="12"/>
      <c r="ONM228" s="12"/>
      <c r="ONN228" s="12"/>
      <c r="ONO228" s="12"/>
      <c r="ONP228" s="12"/>
      <c r="ONQ228" s="12"/>
      <c r="ONR228" s="12"/>
      <c r="ONS228" s="12"/>
      <c r="ONT228" s="12"/>
      <c r="ONU228" s="12"/>
      <c r="ONV228" s="12"/>
      <c r="ONW228" s="12"/>
      <c r="ONX228" s="12"/>
      <c r="ONY228" s="12"/>
      <c r="ONZ228" s="12"/>
      <c r="OOA228" s="12"/>
      <c r="OOB228" s="12"/>
      <c r="OOC228" s="12"/>
      <c r="OOD228" s="12"/>
      <c r="OOE228" s="12"/>
      <c r="OOF228" s="12"/>
      <c r="OOG228" s="12"/>
      <c r="OOH228" s="12"/>
      <c r="OOI228" s="12"/>
      <c r="OOJ228" s="12"/>
      <c r="OOK228" s="12"/>
      <c r="OOL228" s="12"/>
      <c r="OOM228" s="12"/>
      <c r="OON228" s="12"/>
      <c r="OOO228" s="12"/>
      <c r="OOP228" s="12"/>
      <c r="OOQ228" s="12"/>
      <c r="OOR228" s="12"/>
      <c r="OOS228" s="12"/>
      <c r="OOT228" s="12"/>
      <c r="OOU228" s="12"/>
      <c r="OOV228" s="12"/>
      <c r="OOW228" s="12"/>
      <c r="OOX228" s="12"/>
      <c r="OOY228" s="12"/>
      <c r="OOZ228" s="12"/>
      <c r="OPA228" s="12"/>
      <c r="OPB228" s="12"/>
      <c r="OPC228" s="12"/>
      <c r="OPD228" s="12"/>
      <c r="OPE228" s="12"/>
      <c r="OPF228" s="12"/>
      <c r="OPG228" s="12"/>
      <c r="OPH228" s="12"/>
      <c r="OPI228" s="12"/>
      <c r="OPJ228" s="12"/>
      <c r="OPK228" s="12"/>
      <c r="OPL228" s="12"/>
      <c r="OPM228" s="12"/>
      <c r="OPN228" s="12"/>
      <c r="OPO228" s="12"/>
      <c r="OPP228" s="12"/>
      <c r="OPQ228" s="12"/>
      <c r="OPR228" s="12"/>
      <c r="OPS228" s="12"/>
      <c r="OPT228" s="12"/>
      <c r="OPU228" s="12"/>
      <c r="OPV228" s="12"/>
      <c r="OPW228" s="12"/>
      <c r="OPX228" s="12"/>
      <c r="OPY228" s="12"/>
      <c r="OPZ228" s="12"/>
      <c r="OQA228" s="12"/>
      <c r="OQB228" s="12"/>
      <c r="OQC228" s="12"/>
      <c r="OQD228" s="12"/>
      <c r="OQE228" s="12"/>
      <c r="OQF228" s="12"/>
      <c r="OQG228" s="12"/>
      <c r="OQH228" s="12"/>
      <c r="OQI228" s="12"/>
      <c r="OQJ228" s="12"/>
      <c r="OQK228" s="12"/>
      <c r="OQL228" s="12"/>
      <c r="OQM228" s="12"/>
      <c r="OQN228" s="12"/>
      <c r="OQO228" s="12"/>
      <c r="OQP228" s="12"/>
      <c r="OQQ228" s="12"/>
      <c r="OQR228" s="12"/>
      <c r="OQS228" s="12"/>
      <c r="OQT228" s="12"/>
      <c r="OQU228" s="12"/>
      <c r="OQV228" s="12"/>
      <c r="OQW228" s="12"/>
      <c r="OQX228" s="12"/>
      <c r="OQY228" s="12"/>
      <c r="OQZ228" s="12"/>
      <c r="ORA228" s="12"/>
      <c r="ORB228" s="12"/>
      <c r="ORC228" s="12"/>
      <c r="ORD228" s="12"/>
      <c r="ORE228" s="12"/>
      <c r="ORF228" s="12"/>
      <c r="ORG228" s="12"/>
      <c r="ORH228" s="12"/>
      <c r="ORI228" s="12"/>
      <c r="ORJ228" s="12"/>
      <c r="ORK228" s="12"/>
      <c r="ORL228" s="12"/>
      <c r="ORM228" s="12"/>
      <c r="ORN228" s="12"/>
      <c r="ORO228" s="12"/>
      <c r="ORP228" s="12"/>
      <c r="ORQ228" s="12"/>
      <c r="ORR228" s="12"/>
      <c r="ORS228" s="12"/>
      <c r="ORT228" s="12"/>
      <c r="ORU228" s="12"/>
      <c r="ORV228" s="12"/>
      <c r="ORW228" s="12"/>
      <c r="ORX228" s="12"/>
      <c r="ORY228" s="12"/>
      <c r="ORZ228" s="12"/>
      <c r="OSA228" s="12"/>
      <c r="OSB228" s="12"/>
      <c r="OSC228" s="12"/>
      <c r="OSD228" s="12"/>
      <c r="OSE228" s="12"/>
      <c r="OSF228" s="12"/>
      <c r="OSG228" s="12"/>
      <c r="OSH228" s="12"/>
      <c r="OSI228" s="12"/>
      <c r="OSJ228" s="12"/>
      <c r="OSK228" s="12"/>
      <c r="OSL228" s="12"/>
      <c r="OSM228" s="12"/>
      <c r="OSN228" s="12"/>
      <c r="OSO228" s="12"/>
      <c r="OSP228" s="12"/>
      <c r="OSQ228" s="12"/>
      <c r="OSR228" s="12"/>
      <c r="OSS228" s="12"/>
      <c r="OST228" s="12"/>
      <c r="OSU228" s="12"/>
      <c r="OSV228" s="12"/>
      <c r="OSW228" s="12"/>
      <c r="OSX228" s="12"/>
      <c r="OSY228" s="12"/>
      <c r="OSZ228" s="12"/>
      <c r="OTA228" s="12"/>
      <c r="OTB228" s="12"/>
      <c r="OTC228" s="12"/>
      <c r="OTD228" s="12"/>
      <c r="OTE228" s="12"/>
      <c r="OTF228" s="12"/>
      <c r="OTG228" s="12"/>
      <c r="OTH228" s="12"/>
      <c r="OTI228" s="12"/>
      <c r="OTJ228" s="12"/>
      <c r="OTK228" s="12"/>
      <c r="OTL228" s="12"/>
      <c r="OTM228" s="12"/>
      <c r="OTN228" s="12"/>
      <c r="OTO228" s="12"/>
      <c r="OTP228" s="12"/>
      <c r="OTQ228" s="12"/>
      <c r="OTR228" s="12"/>
      <c r="OTS228" s="12"/>
      <c r="OTT228" s="12"/>
      <c r="OTU228" s="12"/>
      <c r="OTV228" s="12"/>
      <c r="OTW228" s="12"/>
      <c r="OTX228" s="12"/>
      <c r="OTY228" s="12"/>
      <c r="OTZ228" s="12"/>
      <c r="OUA228" s="12"/>
      <c r="OUB228" s="12"/>
      <c r="OUC228" s="12"/>
      <c r="OUD228" s="12"/>
      <c r="OUE228" s="12"/>
      <c r="OUF228" s="12"/>
      <c r="OUG228" s="12"/>
      <c r="OUH228" s="12"/>
      <c r="OUI228" s="12"/>
      <c r="OUJ228" s="12"/>
      <c r="OUK228" s="12"/>
      <c r="OUL228" s="12"/>
      <c r="OUM228" s="12"/>
      <c r="OUN228" s="12"/>
      <c r="OUO228" s="12"/>
      <c r="OUP228" s="12"/>
      <c r="OUQ228" s="12"/>
      <c r="OUR228" s="12"/>
      <c r="OUS228" s="12"/>
      <c r="OUT228" s="12"/>
      <c r="OUU228" s="12"/>
      <c r="OUV228" s="12"/>
      <c r="OUW228" s="12"/>
      <c r="OUX228" s="12"/>
      <c r="OUY228" s="12"/>
      <c r="OUZ228" s="12"/>
      <c r="OVA228" s="12"/>
      <c r="OVB228" s="12"/>
      <c r="OVC228" s="12"/>
      <c r="OVD228" s="12"/>
      <c r="OVE228" s="12"/>
      <c r="OVF228" s="12"/>
      <c r="OVG228" s="12"/>
      <c r="OVH228" s="12"/>
      <c r="OVI228" s="12"/>
      <c r="OVJ228" s="12"/>
      <c r="OVK228" s="12"/>
      <c r="OVL228" s="12"/>
      <c r="OVM228" s="12"/>
      <c r="OVN228" s="12"/>
      <c r="OVO228" s="12"/>
      <c r="OVP228" s="12"/>
      <c r="OVQ228" s="12"/>
      <c r="OVR228" s="12"/>
      <c r="OVS228" s="12"/>
      <c r="OVT228" s="12"/>
      <c r="OVU228" s="12"/>
      <c r="OVV228" s="12"/>
      <c r="OVW228" s="12"/>
      <c r="OVX228" s="12"/>
      <c r="OVY228" s="12"/>
      <c r="OVZ228" s="12"/>
      <c r="OWA228" s="12"/>
      <c r="OWB228" s="12"/>
      <c r="OWC228" s="12"/>
      <c r="OWD228" s="12"/>
      <c r="OWE228" s="12"/>
      <c r="OWF228" s="12"/>
      <c r="OWG228" s="12"/>
      <c r="OWH228" s="12"/>
      <c r="OWI228" s="12"/>
      <c r="OWJ228" s="12"/>
      <c r="OWK228" s="12"/>
      <c r="OWL228" s="12"/>
      <c r="OWM228" s="12"/>
      <c r="OWN228" s="12"/>
      <c r="OWO228" s="12"/>
      <c r="OWP228" s="12"/>
      <c r="OWQ228" s="12"/>
      <c r="OWR228" s="12"/>
      <c r="OWS228" s="12"/>
      <c r="OWT228" s="12"/>
      <c r="OWU228" s="12"/>
      <c r="OWV228" s="12"/>
      <c r="OWW228" s="12"/>
      <c r="OWX228" s="12"/>
      <c r="OWY228" s="12"/>
      <c r="OWZ228" s="12"/>
      <c r="OXA228" s="12"/>
      <c r="OXB228" s="12"/>
      <c r="OXC228" s="12"/>
      <c r="OXD228" s="12"/>
      <c r="OXE228" s="12"/>
      <c r="OXF228" s="12"/>
      <c r="OXG228" s="12"/>
      <c r="OXH228" s="12"/>
      <c r="OXI228" s="12"/>
      <c r="OXJ228" s="12"/>
      <c r="OXK228" s="12"/>
      <c r="OXL228" s="12"/>
      <c r="OXM228" s="12"/>
      <c r="OXN228" s="12"/>
      <c r="OXO228" s="12"/>
      <c r="OXP228" s="12"/>
      <c r="OXQ228" s="12"/>
      <c r="OXR228" s="12"/>
      <c r="OXS228" s="12"/>
      <c r="OXT228" s="12"/>
      <c r="OXU228" s="12"/>
      <c r="OXV228" s="12"/>
      <c r="OXW228" s="12"/>
      <c r="OXX228" s="12"/>
      <c r="OXY228" s="12"/>
      <c r="OXZ228" s="12"/>
      <c r="OYA228" s="12"/>
      <c r="OYB228" s="12"/>
      <c r="OYC228" s="12"/>
      <c r="OYD228" s="12"/>
      <c r="OYE228" s="12"/>
      <c r="OYF228" s="12"/>
      <c r="OYG228" s="12"/>
      <c r="OYH228" s="12"/>
      <c r="OYI228" s="12"/>
      <c r="OYJ228" s="12"/>
      <c r="OYK228" s="12"/>
      <c r="OYL228" s="12"/>
      <c r="OYM228" s="12"/>
      <c r="OYN228" s="12"/>
      <c r="OYO228" s="12"/>
      <c r="OYP228" s="12"/>
      <c r="OYQ228" s="12"/>
      <c r="OYR228" s="12"/>
      <c r="OYS228" s="12"/>
      <c r="OYT228" s="12"/>
      <c r="OYU228" s="12"/>
      <c r="OYV228" s="12"/>
      <c r="OYW228" s="12"/>
      <c r="OYX228" s="12"/>
      <c r="OYY228" s="12"/>
      <c r="OYZ228" s="12"/>
      <c r="OZA228" s="12"/>
      <c r="OZB228" s="12"/>
      <c r="OZC228" s="12"/>
      <c r="OZD228" s="12"/>
      <c r="OZE228" s="12"/>
      <c r="OZF228" s="12"/>
      <c r="OZG228" s="12"/>
      <c r="OZH228" s="12"/>
      <c r="OZI228" s="12"/>
      <c r="OZJ228" s="12"/>
      <c r="OZK228" s="12"/>
      <c r="OZL228" s="12"/>
      <c r="OZM228" s="12"/>
      <c r="OZN228" s="12"/>
      <c r="OZO228" s="12"/>
      <c r="OZP228" s="12"/>
      <c r="OZQ228" s="12"/>
      <c r="OZR228" s="12"/>
      <c r="OZS228" s="12"/>
      <c r="OZT228" s="12"/>
      <c r="OZU228" s="12"/>
      <c r="OZV228" s="12"/>
      <c r="OZW228" s="12"/>
      <c r="OZX228" s="12"/>
      <c r="OZY228" s="12"/>
      <c r="OZZ228" s="12"/>
      <c r="PAA228" s="12"/>
      <c r="PAB228" s="12"/>
      <c r="PAC228" s="12"/>
      <c r="PAD228" s="12"/>
      <c r="PAE228" s="12"/>
      <c r="PAF228" s="12"/>
      <c r="PAG228" s="12"/>
      <c r="PAH228" s="12"/>
      <c r="PAI228" s="12"/>
      <c r="PAJ228" s="12"/>
      <c r="PAK228" s="12"/>
      <c r="PAL228" s="12"/>
      <c r="PAM228" s="12"/>
      <c r="PAN228" s="12"/>
      <c r="PAO228" s="12"/>
      <c r="PAP228" s="12"/>
      <c r="PAQ228" s="12"/>
      <c r="PAR228" s="12"/>
      <c r="PAS228" s="12"/>
      <c r="PAT228" s="12"/>
      <c r="PAU228" s="12"/>
      <c r="PAV228" s="12"/>
      <c r="PAW228" s="12"/>
      <c r="PAX228" s="12"/>
      <c r="PAY228" s="12"/>
      <c r="PAZ228" s="12"/>
      <c r="PBA228" s="12"/>
      <c r="PBB228" s="12"/>
      <c r="PBC228" s="12"/>
      <c r="PBD228" s="12"/>
      <c r="PBE228" s="12"/>
      <c r="PBF228" s="12"/>
      <c r="PBG228" s="12"/>
      <c r="PBH228" s="12"/>
      <c r="PBI228" s="12"/>
      <c r="PBJ228" s="12"/>
      <c r="PBK228" s="12"/>
      <c r="PBL228" s="12"/>
      <c r="PBM228" s="12"/>
      <c r="PBN228" s="12"/>
      <c r="PBO228" s="12"/>
      <c r="PBP228" s="12"/>
      <c r="PBQ228" s="12"/>
      <c r="PBR228" s="12"/>
      <c r="PBS228" s="12"/>
      <c r="PBT228" s="12"/>
      <c r="PBU228" s="12"/>
      <c r="PBV228" s="12"/>
      <c r="PBW228" s="12"/>
      <c r="PBX228" s="12"/>
      <c r="PBY228" s="12"/>
      <c r="PBZ228" s="12"/>
      <c r="PCA228" s="12"/>
      <c r="PCB228" s="12"/>
      <c r="PCC228" s="12"/>
      <c r="PCD228" s="12"/>
      <c r="PCE228" s="12"/>
      <c r="PCF228" s="12"/>
      <c r="PCG228" s="12"/>
      <c r="PCH228" s="12"/>
      <c r="PCI228" s="12"/>
      <c r="PCJ228" s="12"/>
      <c r="PCK228" s="12"/>
      <c r="PCL228" s="12"/>
      <c r="PCM228" s="12"/>
      <c r="PCN228" s="12"/>
      <c r="PCO228" s="12"/>
      <c r="PCP228" s="12"/>
      <c r="PCQ228" s="12"/>
      <c r="PCR228" s="12"/>
      <c r="PCS228" s="12"/>
      <c r="PCT228" s="12"/>
      <c r="PCU228" s="12"/>
      <c r="PCV228" s="12"/>
      <c r="PCW228" s="12"/>
      <c r="PCX228" s="12"/>
      <c r="PCY228" s="12"/>
      <c r="PCZ228" s="12"/>
      <c r="PDA228" s="12"/>
      <c r="PDB228" s="12"/>
      <c r="PDC228" s="12"/>
      <c r="PDD228" s="12"/>
      <c r="PDE228" s="12"/>
      <c r="PDF228" s="12"/>
      <c r="PDG228" s="12"/>
      <c r="PDH228" s="12"/>
      <c r="PDI228" s="12"/>
      <c r="PDJ228" s="12"/>
      <c r="PDK228" s="12"/>
      <c r="PDL228" s="12"/>
      <c r="PDM228" s="12"/>
      <c r="PDN228" s="12"/>
      <c r="PDO228" s="12"/>
      <c r="PDP228" s="12"/>
      <c r="PDQ228" s="12"/>
      <c r="PDR228" s="12"/>
      <c r="PDS228" s="12"/>
      <c r="PDT228" s="12"/>
      <c r="PDU228" s="12"/>
      <c r="PDV228" s="12"/>
      <c r="PDW228" s="12"/>
      <c r="PDX228" s="12"/>
      <c r="PDY228" s="12"/>
      <c r="PDZ228" s="12"/>
      <c r="PEA228" s="12"/>
      <c r="PEB228" s="12"/>
      <c r="PEC228" s="12"/>
      <c r="PED228" s="12"/>
      <c r="PEE228" s="12"/>
      <c r="PEF228" s="12"/>
      <c r="PEG228" s="12"/>
      <c r="PEH228" s="12"/>
      <c r="PEI228" s="12"/>
      <c r="PEJ228" s="12"/>
      <c r="PEK228" s="12"/>
      <c r="PEL228" s="12"/>
      <c r="PEM228" s="12"/>
      <c r="PEN228" s="12"/>
      <c r="PEO228" s="12"/>
      <c r="PEP228" s="12"/>
      <c r="PEQ228" s="12"/>
      <c r="PER228" s="12"/>
      <c r="PES228" s="12"/>
      <c r="PET228" s="12"/>
      <c r="PEU228" s="12"/>
      <c r="PEV228" s="12"/>
      <c r="PEW228" s="12"/>
      <c r="PEX228" s="12"/>
      <c r="PEY228" s="12"/>
      <c r="PEZ228" s="12"/>
      <c r="PFA228" s="12"/>
      <c r="PFB228" s="12"/>
      <c r="PFC228" s="12"/>
      <c r="PFD228" s="12"/>
      <c r="PFE228" s="12"/>
      <c r="PFF228" s="12"/>
      <c r="PFG228" s="12"/>
      <c r="PFH228" s="12"/>
      <c r="PFI228" s="12"/>
      <c r="PFJ228" s="12"/>
      <c r="PFK228" s="12"/>
      <c r="PFL228" s="12"/>
      <c r="PFM228" s="12"/>
      <c r="PFN228" s="12"/>
      <c r="PFO228" s="12"/>
      <c r="PFP228" s="12"/>
      <c r="PFQ228" s="12"/>
      <c r="PFR228" s="12"/>
      <c r="PFS228" s="12"/>
      <c r="PFT228" s="12"/>
      <c r="PFU228" s="12"/>
      <c r="PFV228" s="12"/>
      <c r="PFW228" s="12"/>
      <c r="PFX228" s="12"/>
      <c r="PFY228" s="12"/>
      <c r="PFZ228" s="12"/>
      <c r="PGA228" s="12"/>
      <c r="PGB228" s="12"/>
      <c r="PGC228" s="12"/>
      <c r="PGD228" s="12"/>
      <c r="PGE228" s="12"/>
      <c r="PGF228" s="12"/>
      <c r="PGG228" s="12"/>
      <c r="PGH228" s="12"/>
      <c r="PGI228" s="12"/>
      <c r="PGJ228" s="12"/>
      <c r="PGK228" s="12"/>
      <c r="PGL228" s="12"/>
      <c r="PGM228" s="12"/>
      <c r="PGN228" s="12"/>
      <c r="PGO228" s="12"/>
      <c r="PGP228" s="12"/>
      <c r="PGQ228" s="12"/>
      <c r="PGR228" s="12"/>
      <c r="PGS228" s="12"/>
      <c r="PGT228" s="12"/>
      <c r="PGU228" s="12"/>
      <c r="PGV228" s="12"/>
      <c r="PGW228" s="12"/>
      <c r="PGX228" s="12"/>
      <c r="PGY228" s="12"/>
      <c r="PGZ228" s="12"/>
      <c r="PHA228" s="12"/>
      <c r="PHB228" s="12"/>
      <c r="PHC228" s="12"/>
      <c r="PHD228" s="12"/>
      <c r="PHE228" s="12"/>
      <c r="PHF228" s="12"/>
      <c r="PHG228" s="12"/>
      <c r="PHH228" s="12"/>
      <c r="PHI228" s="12"/>
      <c r="PHJ228" s="12"/>
      <c r="PHK228" s="12"/>
      <c r="PHL228" s="12"/>
      <c r="PHM228" s="12"/>
      <c r="PHN228" s="12"/>
      <c r="PHO228" s="12"/>
      <c r="PHP228" s="12"/>
      <c r="PHQ228" s="12"/>
      <c r="PHR228" s="12"/>
      <c r="PHS228" s="12"/>
      <c r="PHT228" s="12"/>
      <c r="PHU228" s="12"/>
      <c r="PHV228" s="12"/>
      <c r="PHW228" s="12"/>
      <c r="PHX228" s="12"/>
      <c r="PHY228" s="12"/>
      <c r="PHZ228" s="12"/>
      <c r="PIA228" s="12"/>
      <c r="PIB228" s="12"/>
      <c r="PIC228" s="12"/>
      <c r="PID228" s="12"/>
      <c r="PIE228" s="12"/>
      <c r="PIF228" s="12"/>
      <c r="PIG228" s="12"/>
      <c r="PIH228" s="12"/>
      <c r="PII228" s="12"/>
      <c r="PIJ228" s="12"/>
      <c r="PIK228" s="12"/>
      <c r="PIL228" s="12"/>
      <c r="PIM228" s="12"/>
      <c r="PIN228" s="12"/>
      <c r="PIO228" s="12"/>
      <c r="PIP228" s="12"/>
      <c r="PIQ228" s="12"/>
      <c r="PIR228" s="12"/>
      <c r="PIS228" s="12"/>
      <c r="PIT228" s="12"/>
      <c r="PIU228" s="12"/>
      <c r="PIV228" s="12"/>
      <c r="PIW228" s="12"/>
      <c r="PIX228" s="12"/>
      <c r="PIY228" s="12"/>
      <c r="PIZ228" s="12"/>
      <c r="PJA228" s="12"/>
      <c r="PJB228" s="12"/>
      <c r="PJC228" s="12"/>
      <c r="PJD228" s="12"/>
      <c r="PJE228" s="12"/>
      <c r="PJF228" s="12"/>
      <c r="PJG228" s="12"/>
      <c r="PJH228" s="12"/>
      <c r="PJI228" s="12"/>
      <c r="PJJ228" s="12"/>
      <c r="PJK228" s="12"/>
      <c r="PJL228" s="12"/>
      <c r="PJM228" s="12"/>
      <c r="PJN228" s="12"/>
      <c r="PJO228" s="12"/>
      <c r="PJP228" s="12"/>
      <c r="PJQ228" s="12"/>
      <c r="PJR228" s="12"/>
      <c r="PJS228" s="12"/>
      <c r="PJT228" s="12"/>
      <c r="PJU228" s="12"/>
      <c r="PJV228" s="12"/>
      <c r="PJW228" s="12"/>
      <c r="PJX228" s="12"/>
      <c r="PJY228" s="12"/>
      <c r="PJZ228" s="12"/>
      <c r="PKA228" s="12"/>
      <c r="PKB228" s="12"/>
      <c r="PKC228" s="12"/>
      <c r="PKD228" s="12"/>
      <c r="PKE228" s="12"/>
      <c r="PKF228" s="12"/>
      <c r="PKG228" s="12"/>
      <c r="PKH228" s="12"/>
      <c r="PKI228" s="12"/>
      <c r="PKJ228" s="12"/>
      <c r="PKK228" s="12"/>
      <c r="PKL228" s="12"/>
      <c r="PKM228" s="12"/>
      <c r="PKN228" s="12"/>
      <c r="PKO228" s="12"/>
      <c r="PKP228" s="12"/>
      <c r="PKQ228" s="12"/>
      <c r="PKR228" s="12"/>
      <c r="PKS228" s="12"/>
      <c r="PKT228" s="12"/>
      <c r="PKU228" s="12"/>
      <c r="PKV228" s="12"/>
      <c r="PKW228" s="12"/>
      <c r="PKX228" s="12"/>
      <c r="PKY228" s="12"/>
      <c r="PKZ228" s="12"/>
      <c r="PLA228" s="12"/>
      <c r="PLB228" s="12"/>
      <c r="PLC228" s="12"/>
      <c r="PLD228" s="12"/>
      <c r="PLE228" s="12"/>
      <c r="PLF228" s="12"/>
      <c r="PLG228" s="12"/>
      <c r="PLH228" s="12"/>
      <c r="PLI228" s="12"/>
      <c r="PLJ228" s="12"/>
      <c r="PLK228" s="12"/>
      <c r="PLL228" s="12"/>
      <c r="PLM228" s="12"/>
      <c r="PLN228" s="12"/>
      <c r="PLO228" s="12"/>
      <c r="PLP228" s="12"/>
      <c r="PLQ228" s="12"/>
      <c r="PLR228" s="12"/>
      <c r="PLS228" s="12"/>
      <c r="PLT228" s="12"/>
      <c r="PLU228" s="12"/>
      <c r="PLV228" s="12"/>
      <c r="PLW228" s="12"/>
      <c r="PLX228" s="12"/>
      <c r="PLY228" s="12"/>
      <c r="PLZ228" s="12"/>
      <c r="PMA228" s="12"/>
      <c r="PMB228" s="12"/>
      <c r="PMC228" s="12"/>
      <c r="PMD228" s="12"/>
      <c r="PME228" s="12"/>
      <c r="PMF228" s="12"/>
      <c r="PMG228" s="12"/>
      <c r="PMH228" s="12"/>
      <c r="PMI228" s="12"/>
      <c r="PMJ228" s="12"/>
      <c r="PMK228" s="12"/>
      <c r="PML228" s="12"/>
      <c r="PMM228" s="12"/>
      <c r="PMN228" s="12"/>
      <c r="PMO228" s="12"/>
      <c r="PMP228" s="12"/>
      <c r="PMQ228" s="12"/>
      <c r="PMR228" s="12"/>
      <c r="PMS228" s="12"/>
      <c r="PMT228" s="12"/>
      <c r="PMU228" s="12"/>
      <c r="PMV228" s="12"/>
      <c r="PMW228" s="12"/>
      <c r="PMX228" s="12"/>
      <c r="PMY228" s="12"/>
      <c r="PMZ228" s="12"/>
      <c r="PNA228" s="12"/>
      <c r="PNB228" s="12"/>
      <c r="PNC228" s="12"/>
      <c r="PND228" s="12"/>
      <c r="PNE228" s="12"/>
      <c r="PNF228" s="12"/>
      <c r="PNG228" s="12"/>
      <c r="PNH228" s="12"/>
      <c r="PNI228" s="12"/>
      <c r="PNJ228" s="12"/>
      <c r="PNK228" s="12"/>
      <c r="PNL228" s="12"/>
      <c r="PNM228" s="12"/>
      <c r="PNN228" s="12"/>
      <c r="PNO228" s="12"/>
      <c r="PNP228" s="12"/>
      <c r="PNQ228" s="12"/>
      <c r="PNR228" s="12"/>
      <c r="PNS228" s="12"/>
      <c r="PNT228" s="12"/>
      <c r="PNU228" s="12"/>
      <c r="PNV228" s="12"/>
      <c r="PNW228" s="12"/>
      <c r="PNX228" s="12"/>
      <c r="PNY228" s="12"/>
      <c r="PNZ228" s="12"/>
      <c r="POA228" s="12"/>
      <c r="POB228" s="12"/>
      <c r="POC228" s="12"/>
      <c r="POD228" s="12"/>
      <c r="POE228" s="12"/>
      <c r="POF228" s="12"/>
      <c r="POG228" s="12"/>
      <c r="POH228" s="12"/>
      <c r="POI228" s="12"/>
      <c r="POJ228" s="12"/>
      <c r="POK228" s="12"/>
      <c r="POL228" s="12"/>
      <c r="POM228" s="12"/>
      <c r="PON228" s="12"/>
      <c r="POO228" s="12"/>
      <c r="POP228" s="12"/>
      <c r="POQ228" s="12"/>
      <c r="POR228" s="12"/>
      <c r="POS228" s="12"/>
      <c r="POT228" s="12"/>
      <c r="POU228" s="12"/>
      <c r="POV228" s="12"/>
      <c r="POW228" s="12"/>
      <c r="POX228" s="12"/>
      <c r="POY228" s="12"/>
      <c r="POZ228" s="12"/>
      <c r="PPA228" s="12"/>
      <c r="PPB228" s="12"/>
      <c r="PPC228" s="12"/>
      <c r="PPD228" s="12"/>
      <c r="PPE228" s="12"/>
      <c r="PPF228" s="12"/>
      <c r="PPG228" s="12"/>
      <c r="PPH228" s="12"/>
      <c r="PPI228" s="12"/>
      <c r="PPJ228" s="12"/>
      <c r="PPK228" s="12"/>
      <c r="PPL228" s="12"/>
      <c r="PPM228" s="12"/>
      <c r="PPN228" s="12"/>
      <c r="PPO228" s="12"/>
      <c r="PPP228" s="12"/>
      <c r="PPQ228" s="12"/>
      <c r="PPR228" s="12"/>
      <c r="PPS228" s="12"/>
      <c r="PPT228" s="12"/>
      <c r="PPU228" s="12"/>
      <c r="PPV228" s="12"/>
      <c r="PPW228" s="12"/>
      <c r="PPX228" s="12"/>
      <c r="PPY228" s="12"/>
      <c r="PPZ228" s="12"/>
      <c r="PQA228" s="12"/>
      <c r="PQB228" s="12"/>
      <c r="PQC228" s="12"/>
      <c r="PQD228" s="12"/>
      <c r="PQE228" s="12"/>
      <c r="PQF228" s="12"/>
      <c r="PQG228" s="12"/>
      <c r="PQH228" s="12"/>
      <c r="PQI228" s="12"/>
      <c r="PQJ228" s="12"/>
      <c r="PQK228" s="12"/>
      <c r="PQL228" s="12"/>
      <c r="PQM228" s="12"/>
      <c r="PQN228" s="12"/>
      <c r="PQO228" s="12"/>
      <c r="PQP228" s="12"/>
      <c r="PQQ228" s="12"/>
      <c r="PQR228" s="12"/>
      <c r="PQS228" s="12"/>
      <c r="PQT228" s="12"/>
      <c r="PQU228" s="12"/>
      <c r="PQV228" s="12"/>
      <c r="PQW228" s="12"/>
      <c r="PQX228" s="12"/>
      <c r="PQY228" s="12"/>
      <c r="PQZ228" s="12"/>
      <c r="PRA228" s="12"/>
      <c r="PRB228" s="12"/>
      <c r="PRC228" s="12"/>
      <c r="PRD228" s="12"/>
      <c r="PRE228" s="12"/>
      <c r="PRF228" s="12"/>
      <c r="PRG228" s="12"/>
      <c r="PRH228" s="12"/>
      <c r="PRI228" s="12"/>
      <c r="PRJ228" s="12"/>
      <c r="PRK228" s="12"/>
      <c r="PRL228" s="12"/>
      <c r="PRM228" s="12"/>
      <c r="PRN228" s="12"/>
      <c r="PRO228" s="12"/>
      <c r="PRP228" s="12"/>
      <c r="PRQ228" s="12"/>
      <c r="PRR228" s="12"/>
      <c r="PRS228" s="12"/>
      <c r="PRT228" s="12"/>
      <c r="PRU228" s="12"/>
      <c r="PRV228" s="12"/>
      <c r="PRW228" s="12"/>
      <c r="PRX228" s="12"/>
      <c r="PRY228" s="12"/>
      <c r="PRZ228" s="12"/>
      <c r="PSA228" s="12"/>
      <c r="PSB228" s="12"/>
      <c r="PSC228" s="12"/>
      <c r="PSD228" s="12"/>
      <c r="PSE228" s="12"/>
      <c r="PSF228" s="12"/>
      <c r="PSG228" s="12"/>
      <c r="PSH228" s="12"/>
      <c r="PSI228" s="12"/>
      <c r="PSJ228" s="12"/>
      <c r="PSK228" s="12"/>
      <c r="PSL228" s="12"/>
      <c r="PSM228" s="12"/>
      <c r="PSN228" s="12"/>
      <c r="PSO228" s="12"/>
      <c r="PSP228" s="12"/>
      <c r="PSQ228" s="12"/>
      <c r="PSR228" s="12"/>
      <c r="PSS228" s="12"/>
      <c r="PST228" s="12"/>
      <c r="PSU228" s="12"/>
      <c r="PSV228" s="12"/>
      <c r="PSW228" s="12"/>
      <c r="PSX228" s="12"/>
      <c r="PSY228" s="12"/>
      <c r="PSZ228" s="12"/>
      <c r="PTA228" s="12"/>
      <c r="PTB228" s="12"/>
      <c r="PTC228" s="12"/>
      <c r="PTD228" s="12"/>
      <c r="PTE228" s="12"/>
      <c r="PTF228" s="12"/>
      <c r="PTG228" s="12"/>
      <c r="PTH228" s="12"/>
      <c r="PTI228" s="12"/>
      <c r="PTJ228" s="12"/>
      <c r="PTK228" s="12"/>
      <c r="PTL228" s="12"/>
      <c r="PTM228" s="12"/>
      <c r="PTN228" s="12"/>
      <c r="PTO228" s="12"/>
      <c r="PTP228" s="12"/>
      <c r="PTQ228" s="12"/>
      <c r="PTR228" s="12"/>
      <c r="PTS228" s="12"/>
      <c r="PTT228" s="12"/>
      <c r="PTU228" s="12"/>
      <c r="PTV228" s="12"/>
      <c r="PTW228" s="12"/>
      <c r="PTX228" s="12"/>
      <c r="PTY228" s="12"/>
      <c r="PTZ228" s="12"/>
      <c r="PUA228" s="12"/>
      <c r="PUB228" s="12"/>
      <c r="PUC228" s="12"/>
      <c r="PUD228" s="12"/>
      <c r="PUE228" s="12"/>
      <c r="PUF228" s="12"/>
      <c r="PUG228" s="12"/>
      <c r="PUH228" s="12"/>
      <c r="PUI228" s="12"/>
      <c r="PUJ228" s="12"/>
      <c r="PUK228" s="12"/>
      <c r="PUL228" s="12"/>
      <c r="PUM228" s="12"/>
      <c r="PUN228" s="12"/>
      <c r="PUO228" s="12"/>
      <c r="PUP228" s="12"/>
      <c r="PUQ228" s="12"/>
      <c r="PUR228" s="12"/>
      <c r="PUS228" s="12"/>
      <c r="PUT228" s="12"/>
      <c r="PUU228" s="12"/>
      <c r="PUV228" s="12"/>
      <c r="PUW228" s="12"/>
      <c r="PUX228" s="12"/>
      <c r="PUY228" s="12"/>
      <c r="PUZ228" s="12"/>
      <c r="PVA228" s="12"/>
      <c r="PVB228" s="12"/>
      <c r="PVC228" s="12"/>
      <c r="PVD228" s="12"/>
      <c r="PVE228" s="12"/>
      <c r="PVF228" s="12"/>
      <c r="PVG228" s="12"/>
      <c r="PVH228" s="12"/>
      <c r="PVI228" s="12"/>
      <c r="PVJ228" s="12"/>
      <c r="PVK228" s="12"/>
      <c r="PVL228" s="12"/>
      <c r="PVM228" s="12"/>
      <c r="PVN228" s="12"/>
      <c r="PVO228" s="12"/>
      <c r="PVP228" s="12"/>
      <c r="PVQ228" s="12"/>
      <c r="PVR228" s="12"/>
      <c r="PVS228" s="12"/>
      <c r="PVT228" s="12"/>
      <c r="PVU228" s="12"/>
      <c r="PVV228" s="12"/>
      <c r="PVW228" s="12"/>
      <c r="PVX228" s="12"/>
      <c r="PVY228" s="12"/>
      <c r="PVZ228" s="12"/>
      <c r="PWA228" s="12"/>
      <c r="PWB228" s="12"/>
      <c r="PWC228" s="12"/>
      <c r="PWD228" s="12"/>
      <c r="PWE228" s="12"/>
      <c r="PWF228" s="12"/>
      <c r="PWG228" s="12"/>
      <c r="PWH228" s="12"/>
      <c r="PWI228" s="12"/>
      <c r="PWJ228" s="12"/>
      <c r="PWK228" s="12"/>
      <c r="PWL228" s="12"/>
      <c r="PWM228" s="12"/>
      <c r="PWN228" s="12"/>
      <c r="PWO228" s="12"/>
      <c r="PWP228" s="12"/>
      <c r="PWQ228" s="12"/>
      <c r="PWR228" s="12"/>
      <c r="PWS228" s="12"/>
      <c r="PWT228" s="12"/>
      <c r="PWU228" s="12"/>
      <c r="PWV228" s="12"/>
      <c r="PWW228" s="12"/>
      <c r="PWX228" s="12"/>
      <c r="PWY228" s="12"/>
      <c r="PWZ228" s="12"/>
      <c r="PXA228" s="12"/>
      <c r="PXB228" s="12"/>
      <c r="PXC228" s="12"/>
      <c r="PXD228" s="12"/>
      <c r="PXE228" s="12"/>
      <c r="PXF228" s="12"/>
      <c r="PXG228" s="12"/>
      <c r="PXH228" s="12"/>
      <c r="PXI228" s="12"/>
      <c r="PXJ228" s="12"/>
      <c r="PXK228" s="12"/>
      <c r="PXL228" s="12"/>
      <c r="PXM228" s="12"/>
      <c r="PXN228" s="12"/>
      <c r="PXO228" s="12"/>
      <c r="PXP228" s="12"/>
      <c r="PXQ228" s="12"/>
      <c r="PXR228" s="12"/>
      <c r="PXS228" s="12"/>
      <c r="PXT228" s="12"/>
      <c r="PXU228" s="12"/>
      <c r="PXV228" s="12"/>
      <c r="PXW228" s="12"/>
      <c r="PXX228" s="12"/>
      <c r="PXY228" s="12"/>
      <c r="PXZ228" s="12"/>
      <c r="PYA228" s="12"/>
      <c r="PYB228" s="12"/>
      <c r="PYC228" s="12"/>
      <c r="PYD228" s="12"/>
      <c r="PYE228" s="12"/>
      <c r="PYF228" s="12"/>
      <c r="PYG228" s="12"/>
      <c r="PYH228" s="12"/>
      <c r="PYI228" s="12"/>
      <c r="PYJ228" s="12"/>
      <c r="PYK228" s="12"/>
      <c r="PYL228" s="12"/>
      <c r="PYM228" s="12"/>
      <c r="PYN228" s="12"/>
      <c r="PYO228" s="12"/>
      <c r="PYP228" s="12"/>
      <c r="PYQ228" s="12"/>
      <c r="PYR228" s="12"/>
      <c r="PYS228" s="12"/>
      <c r="PYT228" s="12"/>
      <c r="PYU228" s="12"/>
      <c r="PYV228" s="12"/>
      <c r="PYW228" s="12"/>
      <c r="PYX228" s="12"/>
      <c r="PYY228" s="12"/>
      <c r="PYZ228" s="12"/>
      <c r="PZA228" s="12"/>
      <c r="PZB228" s="12"/>
      <c r="PZC228" s="12"/>
      <c r="PZD228" s="12"/>
      <c r="PZE228" s="12"/>
      <c r="PZF228" s="12"/>
      <c r="PZG228" s="12"/>
      <c r="PZH228" s="12"/>
      <c r="PZI228" s="12"/>
      <c r="PZJ228" s="12"/>
      <c r="PZK228" s="12"/>
      <c r="PZL228" s="12"/>
      <c r="PZM228" s="12"/>
      <c r="PZN228" s="12"/>
      <c r="PZO228" s="12"/>
      <c r="PZP228" s="12"/>
      <c r="PZQ228" s="12"/>
      <c r="PZR228" s="12"/>
      <c r="PZS228" s="12"/>
      <c r="PZT228" s="12"/>
      <c r="PZU228" s="12"/>
      <c r="PZV228" s="12"/>
      <c r="PZW228" s="12"/>
      <c r="PZX228" s="12"/>
      <c r="PZY228" s="12"/>
      <c r="PZZ228" s="12"/>
      <c r="QAA228" s="12"/>
      <c r="QAB228" s="12"/>
      <c r="QAC228" s="12"/>
      <c r="QAD228" s="12"/>
      <c r="QAE228" s="12"/>
      <c r="QAF228" s="12"/>
      <c r="QAG228" s="12"/>
      <c r="QAH228" s="12"/>
      <c r="QAI228" s="12"/>
      <c r="QAJ228" s="12"/>
      <c r="QAK228" s="12"/>
      <c r="QAL228" s="12"/>
      <c r="QAM228" s="12"/>
      <c r="QAN228" s="12"/>
      <c r="QAO228" s="12"/>
      <c r="QAP228" s="12"/>
      <c r="QAQ228" s="12"/>
      <c r="QAR228" s="12"/>
      <c r="QAS228" s="12"/>
      <c r="QAT228" s="12"/>
      <c r="QAU228" s="12"/>
      <c r="QAV228" s="12"/>
      <c r="QAW228" s="12"/>
      <c r="QAX228" s="12"/>
      <c r="QAY228" s="12"/>
      <c r="QAZ228" s="12"/>
      <c r="QBA228" s="12"/>
      <c r="QBB228" s="12"/>
      <c r="QBC228" s="12"/>
      <c r="QBD228" s="12"/>
      <c r="QBE228" s="12"/>
      <c r="QBF228" s="12"/>
      <c r="QBG228" s="12"/>
      <c r="QBH228" s="12"/>
      <c r="QBI228" s="12"/>
      <c r="QBJ228" s="12"/>
      <c r="QBK228" s="12"/>
      <c r="QBL228" s="12"/>
      <c r="QBM228" s="12"/>
      <c r="QBN228" s="12"/>
      <c r="QBO228" s="12"/>
      <c r="QBP228" s="12"/>
      <c r="QBQ228" s="12"/>
      <c r="QBR228" s="12"/>
      <c r="QBS228" s="12"/>
      <c r="QBT228" s="12"/>
      <c r="QBU228" s="12"/>
      <c r="QBV228" s="12"/>
      <c r="QBW228" s="12"/>
      <c r="QBX228" s="12"/>
      <c r="QBY228" s="12"/>
      <c r="QBZ228" s="12"/>
      <c r="QCA228" s="12"/>
      <c r="QCB228" s="12"/>
      <c r="QCC228" s="12"/>
      <c r="QCD228" s="12"/>
      <c r="QCE228" s="12"/>
      <c r="QCF228" s="12"/>
      <c r="QCG228" s="12"/>
      <c r="QCH228" s="12"/>
      <c r="QCI228" s="12"/>
      <c r="QCJ228" s="12"/>
      <c r="QCK228" s="12"/>
      <c r="QCL228" s="12"/>
      <c r="QCM228" s="12"/>
      <c r="QCN228" s="12"/>
      <c r="QCO228" s="12"/>
      <c r="QCP228" s="12"/>
      <c r="QCQ228" s="12"/>
      <c r="QCR228" s="12"/>
      <c r="QCS228" s="12"/>
      <c r="QCT228" s="12"/>
      <c r="QCU228" s="12"/>
      <c r="QCV228" s="12"/>
      <c r="QCW228" s="12"/>
      <c r="QCX228" s="12"/>
      <c r="QCY228" s="12"/>
      <c r="QCZ228" s="12"/>
      <c r="QDA228" s="12"/>
      <c r="QDB228" s="12"/>
      <c r="QDC228" s="12"/>
      <c r="QDD228" s="12"/>
      <c r="QDE228" s="12"/>
      <c r="QDF228" s="12"/>
      <c r="QDG228" s="12"/>
      <c r="QDH228" s="12"/>
      <c r="QDI228" s="12"/>
      <c r="QDJ228" s="12"/>
      <c r="QDK228" s="12"/>
      <c r="QDL228" s="12"/>
      <c r="QDM228" s="12"/>
      <c r="QDN228" s="12"/>
      <c r="QDO228" s="12"/>
      <c r="QDP228" s="12"/>
      <c r="QDQ228" s="12"/>
      <c r="QDR228" s="12"/>
      <c r="QDS228" s="12"/>
      <c r="QDT228" s="12"/>
      <c r="QDU228" s="12"/>
      <c r="QDV228" s="12"/>
      <c r="QDW228" s="12"/>
      <c r="QDX228" s="12"/>
      <c r="QDY228" s="12"/>
      <c r="QDZ228" s="12"/>
      <c r="QEA228" s="12"/>
      <c r="QEB228" s="12"/>
      <c r="QEC228" s="12"/>
      <c r="QED228" s="12"/>
      <c r="QEE228" s="12"/>
      <c r="QEF228" s="12"/>
      <c r="QEG228" s="12"/>
      <c r="QEH228" s="12"/>
      <c r="QEI228" s="12"/>
      <c r="QEJ228" s="12"/>
      <c r="QEK228" s="12"/>
      <c r="QEL228" s="12"/>
      <c r="QEM228" s="12"/>
      <c r="QEN228" s="12"/>
      <c r="QEO228" s="12"/>
      <c r="QEP228" s="12"/>
      <c r="QEQ228" s="12"/>
      <c r="QER228" s="12"/>
      <c r="QES228" s="12"/>
      <c r="QET228" s="12"/>
      <c r="QEU228" s="12"/>
      <c r="QEV228" s="12"/>
      <c r="QEW228" s="12"/>
      <c r="QEX228" s="12"/>
      <c r="QEY228" s="12"/>
      <c r="QEZ228" s="12"/>
      <c r="QFA228" s="12"/>
      <c r="QFB228" s="12"/>
      <c r="QFC228" s="12"/>
      <c r="QFD228" s="12"/>
      <c r="QFE228" s="12"/>
      <c r="QFF228" s="12"/>
      <c r="QFG228" s="12"/>
      <c r="QFH228" s="12"/>
      <c r="QFI228" s="12"/>
      <c r="QFJ228" s="12"/>
      <c r="QFK228" s="12"/>
      <c r="QFL228" s="12"/>
      <c r="QFM228" s="12"/>
      <c r="QFN228" s="12"/>
      <c r="QFO228" s="12"/>
      <c r="QFP228" s="12"/>
      <c r="QFQ228" s="12"/>
      <c r="QFR228" s="12"/>
      <c r="QFS228" s="12"/>
      <c r="QFT228" s="12"/>
      <c r="QFU228" s="12"/>
      <c r="QFV228" s="12"/>
      <c r="QFW228" s="12"/>
      <c r="QFX228" s="12"/>
      <c r="QFY228" s="12"/>
      <c r="QFZ228" s="12"/>
      <c r="QGA228" s="12"/>
      <c r="QGB228" s="12"/>
      <c r="QGC228" s="12"/>
      <c r="QGD228" s="12"/>
      <c r="QGE228" s="12"/>
      <c r="QGF228" s="12"/>
      <c r="QGG228" s="12"/>
      <c r="QGH228" s="12"/>
      <c r="QGI228" s="12"/>
      <c r="QGJ228" s="12"/>
      <c r="QGK228" s="12"/>
      <c r="QGL228" s="12"/>
      <c r="QGM228" s="12"/>
      <c r="QGN228" s="12"/>
      <c r="QGO228" s="12"/>
      <c r="QGP228" s="12"/>
      <c r="QGQ228" s="12"/>
      <c r="QGR228" s="12"/>
      <c r="QGS228" s="12"/>
      <c r="QGT228" s="12"/>
      <c r="QGU228" s="12"/>
      <c r="QGV228" s="12"/>
      <c r="QGW228" s="12"/>
      <c r="QGX228" s="12"/>
      <c r="QGY228" s="12"/>
      <c r="QGZ228" s="12"/>
      <c r="QHA228" s="12"/>
      <c r="QHB228" s="12"/>
      <c r="QHC228" s="12"/>
      <c r="QHD228" s="12"/>
      <c r="QHE228" s="12"/>
      <c r="QHF228" s="12"/>
      <c r="QHG228" s="12"/>
      <c r="QHH228" s="12"/>
      <c r="QHI228" s="12"/>
      <c r="QHJ228" s="12"/>
      <c r="QHK228" s="12"/>
      <c r="QHL228" s="12"/>
      <c r="QHM228" s="12"/>
      <c r="QHN228" s="12"/>
      <c r="QHO228" s="12"/>
      <c r="QHP228" s="12"/>
      <c r="QHQ228" s="12"/>
      <c r="QHR228" s="12"/>
      <c r="QHS228" s="12"/>
      <c r="QHT228" s="12"/>
      <c r="QHU228" s="12"/>
      <c r="QHV228" s="12"/>
      <c r="QHW228" s="12"/>
      <c r="QHX228" s="12"/>
      <c r="QHY228" s="12"/>
      <c r="QHZ228" s="12"/>
      <c r="QIA228" s="12"/>
      <c r="QIB228" s="12"/>
      <c r="QIC228" s="12"/>
      <c r="QID228" s="12"/>
      <c r="QIE228" s="12"/>
      <c r="QIF228" s="12"/>
      <c r="QIG228" s="12"/>
      <c r="QIH228" s="12"/>
      <c r="QII228" s="12"/>
      <c r="QIJ228" s="12"/>
      <c r="QIK228" s="12"/>
      <c r="QIL228" s="12"/>
      <c r="QIM228" s="12"/>
      <c r="QIN228" s="12"/>
      <c r="QIO228" s="12"/>
      <c r="QIP228" s="12"/>
      <c r="QIQ228" s="12"/>
      <c r="QIR228" s="12"/>
      <c r="QIS228" s="12"/>
      <c r="QIT228" s="12"/>
      <c r="QIU228" s="12"/>
      <c r="QIV228" s="12"/>
      <c r="QIW228" s="12"/>
      <c r="QIX228" s="12"/>
      <c r="QIY228" s="12"/>
      <c r="QIZ228" s="12"/>
      <c r="QJA228" s="12"/>
      <c r="QJB228" s="12"/>
      <c r="QJC228" s="12"/>
      <c r="QJD228" s="12"/>
      <c r="QJE228" s="12"/>
      <c r="QJF228" s="12"/>
      <c r="QJG228" s="12"/>
      <c r="QJH228" s="12"/>
      <c r="QJI228" s="12"/>
      <c r="QJJ228" s="12"/>
      <c r="QJK228" s="12"/>
      <c r="QJL228" s="12"/>
      <c r="QJM228" s="12"/>
      <c r="QJN228" s="12"/>
      <c r="QJO228" s="12"/>
      <c r="QJP228" s="12"/>
      <c r="QJQ228" s="12"/>
      <c r="QJR228" s="12"/>
      <c r="QJS228" s="12"/>
      <c r="QJT228" s="12"/>
      <c r="QJU228" s="12"/>
      <c r="QJV228" s="12"/>
      <c r="QJW228" s="12"/>
      <c r="QJX228" s="12"/>
      <c r="QJY228" s="12"/>
      <c r="QJZ228" s="12"/>
      <c r="QKA228" s="12"/>
      <c r="QKB228" s="12"/>
      <c r="QKC228" s="12"/>
      <c r="QKD228" s="12"/>
      <c r="QKE228" s="12"/>
      <c r="QKF228" s="12"/>
      <c r="QKG228" s="12"/>
      <c r="QKH228" s="12"/>
      <c r="QKI228" s="12"/>
      <c r="QKJ228" s="12"/>
      <c r="QKK228" s="12"/>
      <c r="QKL228" s="12"/>
      <c r="QKM228" s="12"/>
      <c r="QKN228" s="12"/>
      <c r="QKO228" s="12"/>
      <c r="QKP228" s="12"/>
      <c r="QKQ228" s="12"/>
      <c r="QKR228" s="12"/>
      <c r="QKS228" s="12"/>
      <c r="QKT228" s="12"/>
      <c r="QKU228" s="12"/>
      <c r="QKV228" s="12"/>
      <c r="QKW228" s="12"/>
      <c r="QKX228" s="12"/>
      <c r="QKY228" s="12"/>
      <c r="QKZ228" s="12"/>
      <c r="QLA228" s="12"/>
      <c r="QLB228" s="12"/>
      <c r="QLC228" s="12"/>
      <c r="QLD228" s="12"/>
      <c r="QLE228" s="12"/>
      <c r="QLF228" s="12"/>
      <c r="QLG228" s="12"/>
      <c r="QLH228" s="12"/>
      <c r="QLI228" s="12"/>
      <c r="QLJ228" s="12"/>
      <c r="QLK228" s="12"/>
      <c r="QLL228" s="12"/>
      <c r="QLM228" s="12"/>
      <c r="QLN228" s="12"/>
      <c r="QLO228" s="12"/>
      <c r="QLP228" s="12"/>
      <c r="QLQ228" s="12"/>
      <c r="QLR228" s="12"/>
      <c r="QLS228" s="12"/>
      <c r="QLT228" s="12"/>
      <c r="QLU228" s="12"/>
      <c r="QLV228" s="12"/>
      <c r="QLW228" s="12"/>
      <c r="QLX228" s="12"/>
      <c r="QLY228" s="12"/>
      <c r="QLZ228" s="12"/>
      <c r="QMA228" s="12"/>
      <c r="QMB228" s="12"/>
      <c r="QMC228" s="12"/>
      <c r="QMD228" s="12"/>
      <c r="QME228" s="12"/>
      <c r="QMF228" s="12"/>
      <c r="QMG228" s="12"/>
      <c r="QMH228" s="12"/>
      <c r="QMI228" s="12"/>
      <c r="QMJ228" s="12"/>
      <c r="QMK228" s="12"/>
      <c r="QML228" s="12"/>
      <c r="QMM228" s="12"/>
      <c r="QMN228" s="12"/>
      <c r="QMO228" s="12"/>
      <c r="QMP228" s="12"/>
      <c r="QMQ228" s="12"/>
      <c r="QMR228" s="12"/>
      <c r="QMS228" s="12"/>
      <c r="QMT228" s="12"/>
      <c r="QMU228" s="12"/>
      <c r="QMV228" s="12"/>
      <c r="QMW228" s="12"/>
      <c r="QMX228" s="12"/>
      <c r="QMY228" s="12"/>
      <c r="QMZ228" s="12"/>
      <c r="QNA228" s="12"/>
      <c r="QNB228" s="12"/>
      <c r="QNC228" s="12"/>
      <c r="QND228" s="12"/>
      <c r="QNE228" s="12"/>
      <c r="QNF228" s="12"/>
      <c r="QNG228" s="12"/>
      <c r="QNH228" s="12"/>
      <c r="QNI228" s="12"/>
      <c r="QNJ228" s="12"/>
      <c r="QNK228" s="12"/>
      <c r="QNL228" s="12"/>
      <c r="QNM228" s="12"/>
      <c r="QNN228" s="12"/>
      <c r="QNO228" s="12"/>
      <c r="QNP228" s="12"/>
      <c r="QNQ228" s="12"/>
      <c r="QNR228" s="12"/>
      <c r="QNS228" s="12"/>
      <c r="QNT228" s="12"/>
      <c r="QNU228" s="12"/>
      <c r="QNV228" s="12"/>
      <c r="QNW228" s="12"/>
      <c r="QNX228" s="12"/>
      <c r="QNY228" s="12"/>
      <c r="QNZ228" s="12"/>
      <c r="QOA228" s="12"/>
      <c r="QOB228" s="12"/>
      <c r="QOC228" s="12"/>
      <c r="QOD228" s="12"/>
      <c r="QOE228" s="12"/>
      <c r="QOF228" s="12"/>
      <c r="QOG228" s="12"/>
      <c r="QOH228" s="12"/>
      <c r="QOI228" s="12"/>
      <c r="QOJ228" s="12"/>
      <c r="QOK228" s="12"/>
      <c r="QOL228" s="12"/>
      <c r="QOM228" s="12"/>
      <c r="QON228" s="12"/>
      <c r="QOO228" s="12"/>
      <c r="QOP228" s="12"/>
      <c r="QOQ228" s="12"/>
      <c r="QOR228" s="12"/>
      <c r="QOS228" s="12"/>
      <c r="QOT228" s="12"/>
      <c r="QOU228" s="12"/>
      <c r="QOV228" s="12"/>
      <c r="QOW228" s="12"/>
      <c r="QOX228" s="12"/>
      <c r="QOY228" s="12"/>
      <c r="QOZ228" s="12"/>
      <c r="QPA228" s="12"/>
      <c r="QPB228" s="12"/>
      <c r="QPC228" s="12"/>
      <c r="QPD228" s="12"/>
      <c r="QPE228" s="12"/>
      <c r="QPF228" s="12"/>
      <c r="QPG228" s="12"/>
      <c r="QPH228" s="12"/>
      <c r="QPI228" s="12"/>
      <c r="QPJ228" s="12"/>
      <c r="QPK228" s="12"/>
      <c r="QPL228" s="12"/>
      <c r="QPM228" s="12"/>
      <c r="QPN228" s="12"/>
      <c r="QPO228" s="12"/>
      <c r="QPP228" s="12"/>
      <c r="QPQ228" s="12"/>
      <c r="QPR228" s="12"/>
      <c r="QPS228" s="12"/>
      <c r="QPT228" s="12"/>
      <c r="QPU228" s="12"/>
      <c r="QPV228" s="12"/>
      <c r="QPW228" s="12"/>
      <c r="QPX228" s="12"/>
      <c r="QPY228" s="12"/>
      <c r="QPZ228" s="12"/>
      <c r="QQA228" s="12"/>
      <c r="QQB228" s="12"/>
      <c r="QQC228" s="12"/>
      <c r="QQD228" s="12"/>
      <c r="QQE228" s="12"/>
      <c r="QQF228" s="12"/>
      <c r="QQG228" s="12"/>
      <c r="QQH228" s="12"/>
      <c r="QQI228" s="12"/>
      <c r="QQJ228" s="12"/>
      <c r="QQK228" s="12"/>
      <c r="QQL228" s="12"/>
      <c r="QQM228" s="12"/>
      <c r="QQN228" s="12"/>
      <c r="QQO228" s="12"/>
      <c r="QQP228" s="12"/>
      <c r="QQQ228" s="12"/>
      <c r="QQR228" s="12"/>
      <c r="QQS228" s="12"/>
      <c r="QQT228" s="12"/>
      <c r="QQU228" s="12"/>
      <c r="QQV228" s="12"/>
      <c r="QQW228" s="12"/>
      <c r="QQX228" s="12"/>
      <c r="QQY228" s="12"/>
      <c r="QQZ228" s="12"/>
      <c r="QRA228" s="12"/>
      <c r="QRB228" s="12"/>
      <c r="QRC228" s="12"/>
      <c r="QRD228" s="12"/>
      <c r="QRE228" s="12"/>
      <c r="QRF228" s="12"/>
      <c r="QRG228" s="12"/>
      <c r="QRH228" s="12"/>
      <c r="QRI228" s="12"/>
      <c r="QRJ228" s="12"/>
      <c r="QRK228" s="12"/>
      <c r="QRL228" s="12"/>
      <c r="QRM228" s="12"/>
      <c r="QRN228" s="12"/>
      <c r="QRO228" s="12"/>
      <c r="QRP228" s="12"/>
      <c r="QRQ228" s="12"/>
      <c r="QRR228" s="12"/>
      <c r="QRS228" s="12"/>
      <c r="QRT228" s="12"/>
      <c r="QRU228" s="12"/>
      <c r="QRV228" s="12"/>
      <c r="QRW228" s="12"/>
      <c r="QRX228" s="12"/>
      <c r="QRY228" s="12"/>
      <c r="QRZ228" s="12"/>
      <c r="QSA228" s="12"/>
      <c r="QSB228" s="12"/>
      <c r="QSC228" s="12"/>
      <c r="QSD228" s="12"/>
      <c r="QSE228" s="12"/>
      <c r="QSF228" s="12"/>
      <c r="QSG228" s="12"/>
      <c r="QSH228" s="12"/>
      <c r="QSI228" s="12"/>
      <c r="QSJ228" s="12"/>
      <c r="QSK228" s="12"/>
      <c r="QSL228" s="12"/>
      <c r="QSM228" s="12"/>
      <c r="QSN228" s="12"/>
      <c r="QSO228" s="12"/>
      <c r="QSP228" s="12"/>
      <c r="QSQ228" s="12"/>
      <c r="QSR228" s="12"/>
      <c r="QSS228" s="12"/>
      <c r="QST228" s="12"/>
      <c r="QSU228" s="12"/>
      <c r="QSV228" s="12"/>
      <c r="QSW228" s="12"/>
      <c r="QSX228" s="12"/>
      <c r="QSY228" s="12"/>
      <c r="QSZ228" s="12"/>
      <c r="QTA228" s="12"/>
      <c r="QTB228" s="12"/>
      <c r="QTC228" s="12"/>
      <c r="QTD228" s="12"/>
      <c r="QTE228" s="12"/>
      <c r="QTF228" s="12"/>
      <c r="QTG228" s="12"/>
      <c r="QTH228" s="12"/>
      <c r="QTI228" s="12"/>
      <c r="QTJ228" s="12"/>
      <c r="QTK228" s="12"/>
      <c r="QTL228" s="12"/>
      <c r="QTM228" s="12"/>
      <c r="QTN228" s="12"/>
      <c r="QTO228" s="12"/>
      <c r="QTP228" s="12"/>
      <c r="QTQ228" s="12"/>
      <c r="QTR228" s="12"/>
      <c r="QTS228" s="12"/>
      <c r="QTT228" s="12"/>
      <c r="QTU228" s="12"/>
      <c r="QTV228" s="12"/>
      <c r="QTW228" s="12"/>
      <c r="QTX228" s="12"/>
      <c r="QTY228" s="12"/>
      <c r="QTZ228" s="12"/>
      <c r="QUA228" s="12"/>
      <c r="QUB228" s="12"/>
      <c r="QUC228" s="12"/>
      <c r="QUD228" s="12"/>
      <c r="QUE228" s="12"/>
      <c r="QUF228" s="12"/>
      <c r="QUG228" s="12"/>
      <c r="QUH228" s="12"/>
      <c r="QUI228" s="12"/>
      <c r="QUJ228" s="12"/>
      <c r="QUK228" s="12"/>
      <c r="QUL228" s="12"/>
      <c r="QUM228" s="12"/>
      <c r="QUN228" s="12"/>
      <c r="QUO228" s="12"/>
      <c r="QUP228" s="12"/>
      <c r="QUQ228" s="12"/>
      <c r="QUR228" s="12"/>
      <c r="QUS228" s="12"/>
      <c r="QUT228" s="12"/>
      <c r="QUU228" s="12"/>
      <c r="QUV228" s="12"/>
      <c r="QUW228" s="12"/>
      <c r="QUX228" s="12"/>
      <c r="QUY228" s="12"/>
      <c r="QUZ228" s="12"/>
      <c r="QVA228" s="12"/>
      <c r="QVB228" s="12"/>
      <c r="QVC228" s="12"/>
      <c r="QVD228" s="12"/>
      <c r="QVE228" s="12"/>
      <c r="QVF228" s="12"/>
      <c r="QVG228" s="12"/>
      <c r="QVH228" s="12"/>
      <c r="QVI228" s="12"/>
      <c r="QVJ228" s="12"/>
      <c r="QVK228" s="12"/>
      <c r="QVL228" s="12"/>
      <c r="QVM228" s="12"/>
      <c r="QVN228" s="12"/>
      <c r="QVO228" s="12"/>
      <c r="QVP228" s="12"/>
      <c r="QVQ228" s="12"/>
      <c r="QVR228" s="12"/>
      <c r="QVS228" s="12"/>
      <c r="QVT228" s="12"/>
      <c r="QVU228" s="12"/>
      <c r="QVV228" s="12"/>
      <c r="QVW228" s="12"/>
      <c r="QVX228" s="12"/>
      <c r="QVY228" s="12"/>
      <c r="QVZ228" s="12"/>
      <c r="QWA228" s="12"/>
      <c r="QWB228" s="12"/>
      <c r="QWC228" s="12"/>
      <c r="QWD228" s="12"/>
      <c r="QWE228" s="12"/>
      <c r="QWF228" s="12"/>
      <c r="QWG228" s="12"/>
      <c r="QWH228" s="12"/>
      <c r="QWI228" s="12"/>
      <c r="QWJ228" s="12"/>
      <c r="QWK228" s="12"/>
      <c r="QWL228" s="12"/>
      <c r="QWM228" s="12"/>
      <c r="QWN228" s="12"/>
      <c r="QWO228" s="12"/>
      <c r="QWP228" s="12"/>
      <c r="QWQ228" s="12"/>
      <c r="QWR228" s="12"/>
      <c r="QWS228" s="12"/>
      <c r="QWT228" s="12"/>
      <c r="QWU228" s="12"/>
      <c r="QWV228" s="12"/>
      <c r="QWW228" s="12"/>
      <c r="QWX228" s="12"/>
      <c r="QWY228" s="12"/>
      <c r="QWZ228" s="12"/>
      <c r="QXA228" s="12"/>
      <c r="QXB228" s="12"/>
      <c r="QXC228" s="12"/>
      <c r="QXD228" s="12"/>
      <c r="QXE228" s="12"/>
      <c r="QXF228" s="12"/>
      <c r="QXG228" s="12"/>
      <c r="QXH228" s="12"/>
      <c r="QXI228" s="12"/>
      <c r="QXJ228" s="12"/>
      <c r="QXK228" s="12"/>
      <c r="QXL228" s="12"/>
      <c r="QXM228" s="12"/>
      <c r="QXN228" s="12"/>
      <c r="QXO228" s="12"/>
      <c r="QXP228" s="12"/>
      <c r="QXQ228" s="12"/>
      <c r="QXR228" s="12"/>
      <c r="QXS228" s="12"/>
      <c r="QXT228" s="12"/>
      <c r="QXU228" s="12"/>
      <c r="QXV228" s="12"/>
      <c r="QXW228" s="12"/>
      <c r="QXX228" s="12"/>
      <c r="QXY228" s="12"/>
      <c r="QXZ228" s="12"/>
      <c r="QYA228" s="12"/>
      <c r="QYB228" s="12"/>
      <c r="QYC228" s="12"/>
      <c r="QYD228" s="12"/>
      <c r="QYE228" s="12"/>
      <c r="QYF228" s="12"/>
      <c r="QYG228" s="12"/>
      <c r="QYH228" s="12"/>
      <c r="QYI228" s="12"/>
      <c r="QYJ228" s="12"/>
      <c r="QYK228" s="12"/>
      <c r="QYL228" s="12"/>
      <c r="QYM228" s="12"/>
      <c r="QYN228" s="12"/>
      <c r="QYO228" s="12"/>
      <c r="QYP228" s="12"/>
      <c r="QYQ228" s="12"/>
      <c r="QYR228" s="12"/>
      <c r="QYS228" s="12"/>
      <c r="QYT228" s="12"/>
      <c r="QYU228" s="12"/>
      <c r="QYV228" s="12"/>
      <c r="QYW228" s="12"/>
      <c r="QYX228" s="12"/>
      <c r="QYY228" s="12"/>
      <c r="QYZ228" s="12"/>
      <c r="QZA228" s="12"/>
      <c r="QZB228" s="12"/>
      <c r="QZC228" s="12"/>
      <c r="QZD228" s="12"/>
      <c r="QZE228" s="12"/>
      <c r="QZF228" s="12"/>
      <c r="QZG228" s="12"/>
      <c r="QZH228" s="12"/>
      <c r="QZI228" s="12"/>
      <c r="QZJ228" s="12"/>
      <c r="QZK228" s="12"/>
      <c r="QZL228" s="12"/>
      <c r="QZM228" s="12"/>
      <c r="QZN228" s="12"/>
      <c r="QZO228" s="12"/>
      <c r="QZP228" s="12"/>
      <c r="QZQ228" s="12"/>
      <c r="QZR228" s="12"/>
      <c r="QZS228" s="12"/>
      <c r="QZT228" s="12"/>
      <c r="QZU228" s="12"/>
      <c r="QZV228" s="12"/>
      <c r="QZW228" s="12"/>
      <c r="QZX228" s="12"/>
      <c r="QZY228" s="12"/>
      <c r="QZZ228" s="12"/>
      <c r="RAA228" s="12"/>
      <c r="RAB228" s="12"/>
      <c r="RAC228" s="12"/>
      <c r="RAD228" s="12"/>
      <c r="RAE228" s="12"/>
      <c r="RAF228" s="12"/>
      <c r="RAG228" s="12"/>
      <c r="RAH228" s="12"/>
      <c r="RAI228" s="12"/>
      <c r="RAJ228" s="12"/>
      <c r="RAK228" s="12"/>
      <c r="RAL228" s="12"/>
      <c r="RAM228" s="12"/>
      <c r="RAN228" s="12"/>
      <c r="RAO228" s="12"/>
      <c r="RAP228" s="12"/>
      <c r="RAQ228" s="12"/>
      <c r="RAR228" s="12"/>
      <c r="RAS228" s="12"/>
      <c r="RAT228" s="12"/>
      <c r="RAU228" s="12"/>
      <c r="RAV228" s="12"/>
      <c r="RAW228" s="12"/>
      <c r="RAX228" s="12"/>
      <c r="RAY228" s="12"/>
      <c r="RAZ228" s="12"/>
      <c r="RBA228" s="12"/>
      <c r="RBB228" s="12"/>
      <c r="RBC228" s="12"/>
      <c r="RBD228" s="12"/>
      <c r="RBE228" s="12"/>
      <c r="RBF228" s="12"/>
      <c r="RBG228" s="12"/>
      <c r="RBH228" s="12"/>
      <c r="RBI228" s="12"/>
      <c r="RBJ228" s="12"/>
      <c r="RBK228" s="12"/>
      <c r="RBL228" s="12"/>
      <c r="RBM228" s="12"/>
      <c r="RBN228" s="12"/>
      <c r="RBO228" s="12"/>
      <c r="RBP228" s="12"/>
      <c r="RBQ228" s="12"/>
      <c r="RBR228" s="12"/>
      <c r="RBS228" s="12"/>
      <c r="RBT228" s="12"/>
      <c r="RBU228" s="12"/>
      <c r="RBV228" s="12"/>
      <c r="RBW228" s="12"/>
      <c r="RBX228" s="12"/>
      <c r="RBY228" s="12"/>
      <c r="RBZ228" s="12"/>
      <c r="RCA228" s="12"/>
      <c r="RCB228" s="12"/>
      <c r="RCC228" s="12"/>
      <c r="RCD228" s="12"/>
      <c r="RCE228" s="12"/>
      <c r="RCF228" s="12"/>
      <c r="RCG228" s="12"/>
      <c r="RCH228" s="12"/>
      <c r="RCI228" s="12"/>
      <c r="RCJ228" s="12"/>
      <c r="RCK228" s="12"/>
      <c r="RCL228" s="12"/>
      <c r="RCM228" s="12"/>
      <c r="RCN228" s="12"/>
      <c r="RCO228" s="12"/>
      <c r="RCP228" s="12"/>
      <c r="RCQ228" s="12"/>
      <c r="RCR228" s="12"/>
      <c r="RCS228" s="12"/>
      <c r="RCT228" s="12"/>
      <c r="RCU228" s="12"/>
      <c r="RCV228" s="12"/>
      <c r="RCW228" s="12"/>
      <c r="RCX228" s="12"/>
      <c r="RCY228" s="12"/>
      <c r="RCZ228" s="12"/>
      <c r="RDA228" s="12"/>
      <c r="RDB228" s="12"/>
      <c r="RDC228" s="12"/>
      <c r="RDD228" s="12"/>
      <c r="RDE228" s="12"/>
      <c r="RDF228" s="12"/>
      <c r="RDG228" s="12"/>
      <c r="RDH228" s="12"/>
      <c r="RDI228" s="12"/>
      <c r="RDJ228" s="12"/>
      <c r="RDK228" s="12"/>
      <c r="RDL228" s="12"/>
      <c r="RDM228" s="12"/>
      <c r="RDN228" s="12"/>
      <c r="RDO228" s="12"/>
      <c r="RDP228" s="12"/>
      <c r="RDQ228" s="12"/>
      <c r="RDR228" s="12"/>
      <c r="RDS228" s="12"/>
      <c r="RDT228" s="12"/>
      <c r="RDU228" s="12"/>
      <c r="RDV228" s="12"/>
      <c r="RDW228" s="12"/>
      <c r="RDX228" s="12"/>
      <c r="RDY228" s="12"/>
      <c r="RDZ228" s="12"/>
      <c r="REA228" s="12"/>
      <c r="REB228" s="12"/>
      <c r="REC228" s="12"/>
      <c r="RED228" s="12"/>
      <c r="REE228" s="12"/>
      <c r="REF228" s="12"/>
      <c r="REG228" s="12"/>
      <c r="REH228" s="12"/>
      <c r="REI228" s="12"/>
      <c r="REJ228" s="12"/>
      <c r="REK228" s="12"/>
      <c r="REL228" s="12"/>
      <c r="REM228" s="12"/>
      <c r="REN228" s="12"/>
      <c r="REO228" s="12"/>
      <c r="REP228" s="12"/>
      <c r="REQ228" s="12"/>
      <c r="RER228" s="12"/>
      <c r="RES228" s="12"/>
      <c r="RET228" s="12"/>
      <c r="REU228" s="12"/>
      <c r="REV228" s="12"/>
      <c r="REW228" s="12"/>
      <c r="REX228" s="12"/>
      <c r="REY228" s="12"/>
      <c r="REZ228" s="12"/>
      <c r="RFA228" s="12"/>
      <c r="RFB228" s="12"/>
      <c r="RFC228" s="12"/>
      <c r="RFD228" s="12"/>
      <c r="RFE228" s="12"/>
      <c r="RFF228" s="12"/>
      <c r="RFG228" s="12"/>
      <c r="RFH228" s="12"/>
      <c r="RFI228" s="12"/>
      <c r="RFJ228" s="12"/>
      <c r="RFK228" s="12"/>
      <c r="RFL228" s="12"/>
      <c r="RFM228" s="12"/>
      <c r="RFN228" s="12"/>
      <c r="RFO228" s="12"/>
      <c r="RFP228" s="12"/>
      <c r="RFQ228" s="12"/>
      <c r="RFR228" s="12"/>
      <c r="RFS228" s="12"/>
      <c r="RFT228" s="12"/>
      <c r="RFU228" s="12"/>
      <c r="RFV228" s="12"/>
      <c r="RFW228" s="12"/>
      <c r="RFX228" s="12"/>
      <c r="RFY228" s="12"/>
      <c r="RFZ228" s="12"/>
      <c r="RGA228" s="12"/>
      <c r="RGB228" s="12"/>
      <c r="RGC228" s="12"/>
      <c r="RGD228" s="12"/>
      <c r="RGE228" s="12"/>
      <c r="RGF228" s="12"/>
      <c r="RGG228" s="12"/>
      <c r="RGH228" s="12"/>
      <c r="RGI228" s="12"/>
      <c r="RGJ228" s="12"/>
      <c r="RGK228" s="12"/>
      <c r="RGL228" s="12"/>
      <c r="RGM228" s="12"/>
      <c r="RGN228" s="12"/>
      <c r="RGO228" s="12"/>
      <c r="RGP228" s="12"/>
      <c r="RGQ228" s="12"/>
      <c r="RGR228" s="12"/>
      <c r="RGS228" s="12"/>
      <c r="RGT228" s="12"/>
      <c r="RGU228" s="12"/>
      <c r="RGV228" s="12"/>
      <c r="RGW228" s="12"/>
      <c r="RGX228" s="12"/>
      <c r="RGY228" s="12"/>
      <c r="RGZ228" s="12"/>
      <c r="RHA228" s="12"/>
      <c r="RHB228" s="12"/>
      <c r="RHC228" s="12"/>
      <c r="RHD228" s="12"/>
      <c r="RHE228" s="12"/>
      <c r="RHF228" s="12"/>
      <c r="RHG228" s="12"/>
      <c r="RHH228" s="12"/>
      <c r="RHI228" s="12"/>
      <c r="RHJ228" s="12"/>
      <c r="RHK228" s="12"/>
      <c r="RHL228" s="12"/>
      <c r="RHM228" s="12"/>
      <c r="RHN228" s="12"/>
      <c r="RHO228" s="12"/>
      <c r="RHP228" s="12"/>
      <c r="RHQ228" s="12"/>
      <c r="RHR228" s="12"/>
      <c r="RHS228" s="12"/>
      <c r="RHT228" s="12"/>
      <c r="RHU228" s="12"/>
      <c r="RHV228" s="12"/>
      <c r="RHW228" s="12"/>
      <c r="RHX228" s="12"/>
      <c r="RHY228" s="12"/>
      <c r="RHZ228" s="12"/>
      <c r="RIA228" s="12"/>
      <c r="RIB228" s="12"/>
      <c r="RIC228" s="12"/>
      <c r="RID228" s="12"/>
      <c r="RIE228" s="12"/>
      <c r="RIF228" s="12"/>
      <c r="RIG228" s="12"/>
      <c r="RIH228" s="12"/>
      <c r="RII228" s="12"/>
      <c r="RIJ228" s="12"/>
      <c r="RIK228" s="12"/>
      <c r="RIL228" s="12"/>
      <c r="RIM228" s="12"/>
      <c r="RIN228" s="12"/>
      <c r="RIO228" s="12"/>
      <c r="RIP228" s="12"/>
      <c r="RIQ228" s="12"/>
      <c r="RIR228" s="12"/>
      <c r="RIS228" s="12"/>
      <c r="RIT228" s="12"/>
      <c r="RIU228" s="12"/>
      <c r="RIV228" s="12"/>
      <c r="RIW228" s="12"/>
      <c r="RIX228" s="12"/>
      <c r="RIY228" s="12"/>
      <c r="RIZ228" s="12"/>
      <c r="RJA228" s="12"/>
      <c r="RJB228" s="12"/>
      <c r="RJC228" s="12"/>
      <c r="RJD228" s="12"/>
      <c r="RJE228" s="12"/>
      <c r="RJF228" s="12"/>
      <c r="RJG228" s="12"/>
      <c r="RJH228" s="12"/>
      <c r="RJI228" s="12"/>
      <c r="RJJ228" s="12"/>
      <c r="RJK228" s="12"/>
      <c r="RJL228" s="12"/>
      <c r="RJM228" s="12"/>
      <c r="RJN228" s="12"/>
      <c r="RJO228" s="12"/>
      <c r="RJP228" s="12"/>
      <c r="RJQ228" s="12"/>
      <c r="RJR228" s="12"/>
      <c r="RJS228" s="12"/>
      <c r="RJT228" s="12"/>
      <c r="RJU228" s="12"/>
      <c r="RJV228" s="12"/>
      <c r="RJW228" s="12"/>
      <c r="RJX228" s="12"/>
      <c r="RJY228" s="12"/>
      <c r="RJZ228" s="12"/>
      <c r="RKA228" s="12"/>
      <c r="RKB228" s="12"/>
      <c r="RKC228" s="12"/>
      <c r="RKD228" s="12"/>
      <c r="RKE228" s="12"/>
      <c r="RKF228" s="12"/>
      <c r="RKG228" s="12"/>
      <c r="RKH228" s="12"/>
      <c r="RKI228" s="12"/>
      <c r="RKJ228" s="12"/>
      <c r="RKK228" s="12"/>
      <c r="RKL228" s="12"/>
      <c r="RKM228" s="12"/>
      <c r="RKN228" s="12"/>
      <c r="RKO228" s="12"/>
      <c r="RKP228" s="12"/>
      <c r="RKQ228" s="12"/>
      <c r="RKR228" s="12"/>
      <c r="RKS228" s="12"/>
      <c r="RKT228" s="12"/>
      <c r="RKU228" s="12"/>
      <c r="RKV228" s="12"/>
      <c r="RKW228" s="12"/>
      <c r="RKX228" s="12"/>
      <c r="RKY228" s="12"/>
      <c r="RKZ228" s="12"/>
      <c r="RLA228" s="12"/>
      <c r="RLB228" s="12"/>
      <c r="RLC228" s="12"/>
      <c r="RLD228" s="12"/>
      <c r="RLE228" s="12"/>
      <c r="RLF228" s="12"/>
      <c r="RLG228" s="12"/>
      <c r="RLH228" s="12"/>
      <c r="RLI228" s="12"/>
      <c r="RLJ228" s="12"/>
      <c r="RLK228" s="12"/>
      <c r="RLL228" s="12"/>
      <c r="RLM228" s="12"/>
      <c r="RLN228" s="12"/>
      <c r="RLO228" s="12"/>
      <c r="RLP228" s="12"/>
      <c r="RLQ228" s="12"/>
      <c r="RLR228" s="12"/>
      <c r="RLS228" s="12"/>
      <c r="RLT228" s="12"/>
      <c r="RLU228" s="12"/>
      <c r="RLV228" s="12"/>
      <c r="RLW228" s="12"/>
      <c r="RLX228" s="12"/>
      <c r="RLY228" s="12"/>
      <c r="RLZ228" s="12"/>
      <c r="RMA228" s="12"/>
      <c r="RMB228" s="12"/>
      <c r="RMC228" s="12"/>
      <c r="RMD228" s="12"/>
      <c r="RME228" s="12"/>
      <c r="RMF228" s="12"/>
      <c r="RMG228" s="12"/>
      <c r="RMH228" s="12"/>
      <c r="RMI228" s="12"/>
      <c r="RMJ228" s="12"/>
      <c r="RMK228" s="12"/>
      <c r="RML228" s="12"/>
      <c r="RMM228" s="12"/>
      <c r="RMN228" s="12"/>
      <c r="RMO228" s="12"/>
      <c r="RMP228" s="12"/>
      <c r="RMQ228" s="12"/>
      <c r="RMR228" s="12"/>
      <c r="RMS228" s="12"/>
      <c r="RMT228" s="12"/>
      <c r="RMU228" s="12"/>
      <c r="RMV228" s="12"/>
      <c r="RMW228" s="12"/>
      <c r="RMX228" s="12"/>
      <c r="RMY228" s="12"/>
      <c r="RMZ228" s="12"/>
      <c r="RNA228" s="12"/>
      <c r="RNB228" s="12"/>
      <c r="RNC228" s="12"/>
      <c r="RND228" s="12"/>
      <c r="RNE228" s="12"/>
      <c r="RNF228" s="12"/>
      <c r="RNG228" s="12"/>
      <c r="RNH228" s="12"/>
      <c r="RNI228" s="12"/>
      <c r="RNJ228" s="12"/>
      <c r="RNK228" s="12"/>
      <c r="RNL228" s="12"/>
      <c r="RNM228" s="12"/>
      <c r="RNN228" s="12"/>
      <c r="RNO228" s="12"/>
      <c r="RNP228" s="12"/>
      <c r="RNQ228" s="12"/>
      <c r="RNR228" s="12"/>
      <c r="RNS228" s="12"/>
      <c r="RNT228" s="12"/>
      <c r="RNU228" s="12"/>
      <c r="RNV228" s="12"/>
      <c r="RNW228" s="12"/>
      <c r="RNX228" s="12"/>
      <c r="RNY228" s="12"/>
      <c r="RNZ228" s="12"/>
      <c r="ROA228" s="12"/>
      <c r="ROB228" s="12"/>
      <c r="ROC228" s="12"/>
      <c r="ROD228" s="12"/>
      <c r="ROE228" s="12"/>
      <c r="ROF228" s="12"/>
      <c r="ROG228" s="12"/>
      <c r="ROH228" s="12"/>
      <c r="ROI228" s="12"/>
      <c r="ROJ228" s="12"/>
      <c r="ROK228" s="12"/>
      <c r="ROL228" s="12"/>
      <c r="ROM228" s="12"/>
      <c r="RON228" s="12"/>
      <c r="ROO228" s="12"/>
      <c r="ROP228" s="12"/>
      <c r="ROQ228" s="12"/>
      <c r="ROR228" s="12"/>
      <c r="ROS228" s="12"/>
      <c r="ROT228" s="12"/>
      <c r="ROU228" s="12"/>
      <c r="ROV228" s="12"/>
      <c r="ROW228" s="12"/>
      <c r="ROX228" s="12"/>
      <c r="ROY228" s="12"/>
      <c r="ROZ228" s="12"/>
      <c r="RPA228" s="12"/>
      <c r="RPB228" s="12"/>
      <c r="RPC228" s="12"/>
      <c r="RPD228" s="12"/>
      <c r="RPE228" s="12"/>
      <c r="RPF228" s="12"/>
      <c r="RPG228" s="12"/>
      <c r="RPH228" s="12"/>
      <c r="RPI228" s="12"/>
      <c r="RPJ228" s="12"/>
      <c r="RPK228" s="12"/>
      <c r="RPL228" s="12"/>
      <c r="RPM228" s="12"/>
      <c r="RPN228" s="12"/>
      <c r="RPO228" s="12"/>
      <c r="RPP228" s="12"/>
      <c r="RPQ228" s="12"/>
      <c r="RPR228" s="12"/>
      <c r="RPS228" s="12"/>
      <c r="RPT228" s="12"/>
      <c r="RPU228" s="12"/>
      <c r="RPV228" s="12"/>
      <c r="RPW228" s="12"/>
      <c r="RPX228" s="12"/>
      <c r="RPY228" s="12"/>
      <c r="RPZ228" s="12"/>
      <c r="RQA228" s="12"/>
      <c r="RQB228" s="12"/>
      <c r="RQC228" s="12"/>
      <c r="RQD228" s="12"/>
      <c r="RQE228" s="12"/>
      <c r="RQF228" s="12"/>
      <c r="RQG228" s="12"/>
      <c r="RQH228" s="12"/>
      <c r="RQI228" s="12"/>
      <c r="RQJ228" s="12"/>
      <c r="RQK228" s="12"/>
      <c r="RQL228" s="12"/>
      <c r="RQM228" s="12"/>
      <c r="RQN228" s="12"/>
      <c r="RQO228" s="12"/>
      <c r="RQP228" s="12"/>
      <c r="RQQ228" s="12"/>
      <c r="RQR228" s="12"/>
      <c r="RQS228" s="12"/>
      <c r="RQT228" s="12"/>
      <c r="RQU228" s="12"/>
      <c r="RQV228" s="12"/>
      <c r="RQW228" s="12"/>
      <c r="RQX228" s="12"/>
      <c r="RQY228" s="12"/>
      <c r="RQZ228" s="12"/>
      <c r="RRA228" s="12"/>
      <c r="RRB228" s="12"/>
      <c r="RRC228" s="12"/>
      <c r="RRD228" s="12"/>
      <c r="RRE228" s="12"/>
      <c r="RRF228" s="12"/>
      <c r="RRG228" s="12"/>
      <c r="RRH228" s="12"/>
      <c r="RRI228" s="12"/>
      <c r="RRJ228" s="12"/>
      <c r="RRK228" s="12"/>
      <c r="RRL228" s="12"/>
      <c r="RRM228" s="12"/>
      <c r="RRN228" s="12"/>
      <c r="RRO228" s="12"/>
      <c r="RRP228" s="12"/>
      <c r="RRQ228" s="12"/>
      <c r="RRR228" s="12"/>
      <c r="RRS228" s="12"/>
      <c r="RRT228" s="12"/>
      <c r="RRU228" s="12"/>
      <c r="RRV228" s="12"/>
      <c r="RRW228" s="12"/>
      <c r="RRX228" s="12"/>
      <c r="RRY228" s="12"/>
      <c r="RRZ228" s="12"/>
      <c r="RSA228" s="12"/>
      <c r="RSB228" s="12"/>
      <c r="RSC228" s="12"/>
      <c r="RSD228" s="12"/>
      <c r="RSE228" s="12"/>
      <c r="RSF228" s="12"/>
      <c r="RSG228" s="12"/>
      <c r="RSH228" s="12"/>
      <c r="RSI228" s="12"/>
      <c r="RSJ228" s="12"/>
      <c r="RSK228" s="12"/>
      <c r="RSL228" s="12"/>
      <c r="RSM228" s="12"/>
      <c r="RSN228" s="12"/>
      <c r="RSO228" s="12"/>
      <c r="RSP228" s="12"/>
      <c r="RSQ228" s="12"/>
      <c r="RSR228" s="12"/>
      <c r="RSS228" s="12"/>
      <c r="RST228" s="12"/>
      <c r="RSU228" s="12"/>
      <c r="RSV228" s="12"/>
      <c r="RSW228" s="12"/>
      <c r="RSX228" s="12"/>
      <c r="RSY228" s="12"/>
      <c r="RSZ228" s="12"/>
      <c r="RTA228" s="12"/>
      <c r="RTB228" s="12"/>
      <c r="RTC228" s="12"/>
      <c r="RTD228" s="12"/>
      <c r="RTE228" s="12"/>
      <c r="RTF228" s="12"/>
      <c r="RTG228" s="12"/>
      <c r="RTH228" s="12"/>
      <c r="RTI228" s="12"/>
      <c r="RTJ228" s="12"/>
      <c r="RTK228" s="12"/>
      <c r="RTL228" s="12"/>
      <c r="RTM228" s="12"/>
      <c r="RTN228" s="12"/>
      <c r="RTO228" s="12"/>
      <c r="RTP228" s="12"/>
      <c r="RTQ228" s="12"/>
      <c r="RTR228" s="12"/>
      <c r="RTS228" s="12"/>
      <c r="RTT228" s="12"/>
      <c r="RTU228" s="12"/>
      <c r="RTV228" s="12"/>
      <c r="RTW228" s="12"/>
      <c r="RTX228" s="12"/>
      <c r="RTY228" s="12"/>
      <c r="RTZ228" s="12"/>
      <c r="RUA228" s="12"/>
      <c r="RUB228" s="12"/>
      <c r="RUC228" s="12"/>
      <c r="RUD228" s="12"/>
      <c r="RUE228" s="12"/>
      <c r="RUF228" s="12"/>
      <c r="RUG228" s="12"/>
      <c r="RUH228" s="12"/>
      <c r="RUI228" s="12"/>
      <c r="RUJ228" s="12"/>
      <c r="RUK228" s="12"/>
      <c r="RUL228" s="12"/>
      <c r="RUM228" s="12"/>
      <c r="RUN228" s="12"/>
      <c r="RUO228" s="12"/>
      <c r="RUP228" s="12"/>
      <c r="RUQ228" s="12"/>
      <c r="RUR228" s="12"/>
      <c r="RUS228" s="12"/>
      <c r="RUT228" s="12"/>
      <c r="RUU228" s="12"/>
      <c r="RUV228" s="12"/>
      <c r="RUW228" s="12"/>
      <c r="RUX228" s="12"/>
      <c r="RUY228" s="12"/>
      <c r="RUZ228" s="12"/>
      <c r="RVA228" s="12"/>
      <c r="RVB228" s="12"/>
      <c r="RVC228" s="12"/>
      <c r="RVD228" s="12"/>
      <c r="RVE228" s="12"/>
      <c r="RVF228" s="12"/>
      <c r="RVG228" s="12"/>
      <c r="RVH228" s="12"/>
      <c r="RVI228" s="12"/>
      <c r="RVJ228" s="12"/>
      <c r="RVK228" s="12"/>
      <c r="RVL228" s="12"/>
      <c r="RVM228" s="12"/>
      <c r="RVN228" s="12"/>
      <c r="RVO228" s="12"/>
      <c r="RVP228" s="12"/>
      <c r="RVQ228" s="12"/>
      <c r="RVR228" s="12"/>
      <c r="RVS228" s="12"/>
      <c r="RVT228" s="12"/>
      <c r="RVU228" s="12"/>
      <c r="RVV228" s="12"/>
      <c r="RVW228" s="12"/>
      <c r="RVX228" s="12"/>
      <c r="RVY228" s="12"/>
      <c r="RVZ228" s="12"/>
      <c r="RWA228" s="12"/>
      <c r="RWB228" s="12"/>
      <c r="RWC228" s="12"/>
      <c r="RWD228" s="12"/>
      <c r="RWE228" s="12"/>
      <c r="RWF228" s="12"/>
      <c r="RWG228" s="12"/>
      <c r="RWH228" s="12"/>
      <c r="RWI228" s="12"/>
      <c r="RWJ228" s="12"/>
      <c r="RWK228" s="12"/>
      <c r="RWL228" s="12"/>
      <c r="RWM228" s="12"/>
      <c r="RWN228" s="12"/>
      <c r="RWO228" s="12"/>
      <c r="RWP228" s="12"/>
      <c r="RWQ228" s="12"/>
      <c r="RWR228" s="12"/>
      <c r="RWS228" s="12"/>
      <c r="RWT228" s="12"/>
      <c r="RWU228" s="12"/>
      <c r="RWV228" s="12"/>
      <c r="RWW228" s="12"/>
      <c r="RWX228" s="12"/>
      <c r="RWY228" s="12"/>
      <c r="RWZ228" s="12"/>
      <c r="RXA228" s="12"/>
      <c r="RXB228" s="12"/>
      <c r="RXC228" s="12"/>
      <c r="RXD228" s="12"/>
      <c r="RXE228" s="12"/>
      <c r="RXF228" s="12"/>
      <c r="RXG228" s="12"/>
      <c r="RXH228" s="12"/>
      <c r="RXI228" s="12"/>
      <c r="RXJ228" s="12"/>
      <c r="RXK228" s="12"/>
      <c r="RXL228" s="12"/>
      <c r="RXM228" s="12"/>
      <c r="RXN228" s="12"/>
      <c r="RXO228" s="12"/>
      <c r="RXP228" s="12"/>
      <c r="RXQ228" s="12"/>
      <c r="RXR228" s="12"/>
      <c r="RXS228" s="12"/>
      <c r="RXT228" s="12"/>
      <c r="RXU228" s="12"/>
      <c r="RXV228" s="12"/>
      <c r="RXW228" s="12"/>
      <c r="RXX228" s="12"/>
      <c r="RXY228" s="12"/>
      <c r="RXZ228" s="12"/>
      <c r="RYA228" s="12"/>
      <c r="RYB228" s="12"/>
      <c r="RYC228" s="12"/>
      <c r="RYD228" s="12"/>
      <c r="RYE228" s="12"/>
      <c r="RYF228" s="12"/>
      <c r="RYG228" s="12"/>
      <c r="RYH228" s="12"/>
      <c r="RYI228" s="12"/>
      <c r="RYJ228" s="12"/>
      <c r="RYK228" s="12"/>
      <c r="RYL228" s="12"/>
      <c r="RYM228" s="12"/>
      <c r="RYN228" s="12"/>
      <c r="RYO228" s="12"/>
      <c r="RYP228" s="12"/>
      <c r="RYQ228" s="12"/>
      <c r="RYR228" s="12"/>
      <c r="RYS228" s="12"/>
      <c r="RYT228" s="12"/>
      <c r="RYU228" s="12"/>
      <c r="RYV228" s="12"/>
      <c r="RYW228" s="12"/>
      <c r="RYX228" s="12"/>
      <c r="RYY228" s="12"/>
      <c r="RYZ228" s="12"/>
      <c r="RZA228" s="12"/>
      <c r="RZB228" s="12"/>
      <c r="RZC228" s="12"/>
      <c r="RZD228" s="12"/>
      <c r="RZE228" s="12"/>
      <c r="RZF228" s="12"/>
      <c r="RZG228" s="12"/>
      <c r="RZH228" s="12"/>
      <c r="RZI228" s="12"/>
      <c r="RZJ228" s="12"/>
      <c r="RZK228" s="12"/>
      <c r="RZL228" s="12"/>
      <c r="RZM228" s="12"/>
      <c r="RZN228" s="12"/>
      <c r="RZO228" s="12"/>
      <c r="RZP228" s="12"/>
      <c r="RZQ228" s="12"/>
      <c r="RZR228" s="12"/>
      <c r="RZS228" s="12"/>
      <c r="RZT228" s="12"/>
      <c r="RZU228" s="12"/>
      <c r="RZV228" s="12"/>
      <c r="RZW228" s="12"/>
      <c r="RZX228" s="12"/>
      <c r="RZY228" s="12"/>
      <c r="RZZ228" s="12"/>
      <c r="SAA228" s="12"/>
      <c r="SAB228" s="12"/>
      <c r="SAC228" s="12"/>
      <c r="SAD228" s="12"/>
      <c r="SAE228" s="12"/>
      <c r="SAF228" s="12"/>
      <c r="SAG228" s="12"/>
      <c r="SAH228" s="12"/>
      <c r="SAI228" s="12"/>
      <c r="SAJ228" s="12"/>
      <c r="SAK228" s="12"/>
      <c r="SAL228" s="12"/>
      <c r="SAM228" s="12"/>
      <c r="SAN228" s="12"/>
      <c r="SAO228" s="12"/>
      <c r="SAP228" s="12"/>
      <c r="SAQ228" s="12"/>
      <c r="SAR228" s="12"/>
      <c r="SAS228" s="12"/>
      <c r="SAT228" s="12"/>
      <c r="SAU228" s="12"/>
      <c r="SAV228" s="12"/>
      <c r="SAW228" s="12"/>
      <c r="SAX228" s="12"/>
      <c r="SAY228" s="12"/>
      <c r="SAZ228" s="12"/>
      <c r="SBA228" s="12"/>
      <c r="SBB228" s="12"/>
      <c r="SBC228" s="12"/>
      <c r="SBD228" s="12"/>
      <c r="SBE228" s="12"/>
      <c r="SBF228" s="12"/>
      <c r="SBG228" s="12"/>
      <c r="SBH228" s="12"/>
      <c r="SBI228" s="12"/>
      <c r="SBJ228" s="12"/>
      <c r="SBK228" s="12"/>
      <c r="SBL228" s="12"/>
      <c r="SBM228" s="12"/>
      <c r="SBN228" s="12"/>
      <c r="SBO228" s="12"/>
      <c r="SBP228" s="12"/>
      <c r="SBQ228" s="12"/>
      <c r="SBR228" s="12"/>
      <c r="SBS228" s="12"/>
      <c r="SBT228" s="12"/>
      <c r="SBU228" s="12"/>
      <c r="SBV228" s="12"/>
      <c r="SBW228" s="12"/>
      <c r="SBX228" s="12"/>
      <c r="SBY228" s="12"/>
      <c r="SBZ228" s="12"/>
      <c r="SCA228" s="12"/>
      <c r="SCB228" s="12"/>
      <c r="SCC228" s="12"/>
      <c r="SCD228" s="12"/>
      <c r="SCE228" s="12"/>
      <c r="SCF228" s="12"/>
      <c r="SCG228" s="12"/>
      <c r="SCH228" s="12"/>
      <c r="SCI228" s="12"/>
      <c r="SCJ228" s="12"/>
      <c r="SCK228" s="12"/>
      <c r="SCL228" s="12"/>
      <c r="SCM228" s="12"/>
      <c r="SCN228" s="12"/>
      <c r="SCO228" s="12"/>
      <c r="SCP228" s="12"/>
      <c r="SCQ228" s="12"/>
      <c r="SCR228" s="12"/>
      <c r="SCS228" s="12"/>
      <c r="SCT228" s="12"/>
      <c r="SCU228" s="12"/>
      <c r="SCV228" s="12"/>
      <c r="SCW228" s="12"/>
      <c r="SCX228" s="12"/>
      <c r="SCY228" s="12"/>
      <c r="SCZ228" s="12"/>
      <c r="SDA228" s="12"/>
      <c r="SDB228" s="12"/>
      <c r="SDC228" s="12"/>
      <c r="SDD228" s="12"/>
      <c r="SDE228" s="12"/>
      <c r="SDF228" s="12"/>
      <c r="SDG228" s="12"/>
      <c r="SDH228" s="12"/>
      <c r="SDI228" s="12"/>
      <c r="SDJ228" s="12"/>
      <c r="SDK228" s="12"/>
      <c r="SDL228" s="12"/>
      <c r="SDM228" s="12"/>
      <c r="SDN228" s="12"/>
      <c r="SDO228" s="12"/>
      <c r="SDP228" s="12"/>
      <c r="SDQ228" s="12"/>
      <c r="SDR228" s="12"/>
      <c r="SDS228" s="12"/>
      <c r="SDT228" s="12"/>
      <c r="SDU228" s="12"/>
      <c r="SDV228" s="12"/>
      <c r="SDW228" s="12"/>
      <c r="SDX228" s="12"/>
      <c r="SDY228" s="12"/>
      <c r="SDZ228" s="12"/>
      <c r="SEA228" s="12"/>
      <c r="SEB228" s="12"/>
      <c r="SEC228" s="12"/>
      <c r="SED228" s="12"/>
      <c r="SEE228" s="12"/>
      <c r="SEF228" s="12"/>
      <c r="SEG228" s="12"/>
      <c r="SEH228" s="12"/>
      <c r="SEI228" s="12"/>
      <c r="SEJ228" s="12"/>
      <c r="SEK228" s="12"/>
      <c r="SEL228" s="12"/>
      <c r="SEM228" s="12"/>
      <c r="SEN228" s="12"/>
      <c r="SEO228" s="12"/>
      <c r="SEP228" s="12"/>
      <c r="SEQ228" s="12"/>
      <c r="SER228" s="12"/>
      <c r="SES228" s="12"/>
      <c r="SET228" s="12"/>
      <c r="SEU228" s="12"/>
      <c r="SEV228" s="12"/>
      <c r="SEW228" s="12"/>
      <c r="SEX228" s="12"/>
      <c r="SEY228" s="12"/>
      <c r="SEZ228" s="12"/>
      <c r="SFA228" s="12"/>
      <c r="SFB228" s="12"/>
      <c r="SFC228" s="12"/>
      <c r="SFD228" s="12"/>
      <c r="SFE228" s="12"/>
      <c r="SFF228" s="12"/>
      <c r="SFG228" s="12"/>
      <c r="SFH228" s="12"/>
      <c r="SFI228" s="12"/>
      <c r="SFJ228" s="12"/>
      <c r="SFK228" s="12"/>
      <c r="SFL228" s="12"/>
      <c r="SFM228" s="12"/>
      <c r="SFN228" s="12"/>
      <c r="SFO228" s="12"/>
      <c r="SFP228" s="12"/>
      <c r="SFQ228" s="12"/>
      <c r="SFR228" s="12"/>
      <c r="SFS228" s="12"/>
      <c r="SFT228" s="12"/>
      <c r="SFU228" s="12"/>
      <c r="SFV228" s="12"/>
      <c r="SFW228" s="12"/>
      <c r="SFX228" s="12"/>
      <c r="SFY228" s="12"/>
      <c r="SFZ228" s="12"/>
      <c r="SGA228" s="12"/>
      <c r="SGB228" s="12"/>
      <c r="SGC228" s="12"/>
      <c r="SGD228" s="12"/>
      <c r="SGE228" s="12"/>
      <c r="SGF228" s="12"/>
      <c r="SGG228" s="12"/>
      <c r="SGH228" s="12"/>
      <c r="SGI228" s="12"/>
      <c r="SGJ228" s="12"/>
      <c r="SGK228" s="12"/>
      <c r="SGL228" s="12"/>
      <c r="SGM228" s="12"/>
      <c r="SGN228" s="12"/>
      <c r="SGO228" s="12"/>
      <c r="SGP228" s="12"/>
      <c r="SGQ228" s="12"/>
      <c r="SGR228" s="12"/>
      <c r="SGS228" s="12"/>
      <c r="SGT228" s="12"/>
      <c r="SGU228" s="12"/>
      <c r="SGV228" s="12"/>
      <c r="SGW228" s="12"/>
      <c r="SGX228" s="12"/>
      <c r="SGY228" s="12"/>
      <c r="SGZ228" s="12"/>
      <c r="SHA228" s="12"/>
      <c r="SHB228" s="12"/>
      <c r="SHC228" s="12"/>
      <c r="SHD228" s="12"/>
      <c r="SHE228" s="12"/>
      <c r="SHF228" s="12"/>
      <c r="SHG228" s="12"/>
      <c r="SHH228" s="12"/>
      <c r="SHI228" s="12"/>
      <c r="SHJ228" s="12"/>
      <c r="SHK228" s="12"/>
      <c r="SHL228" s="12"/>
      <c r="SHM228" s="12"/>
      <c r="SHN228" s="12"/>
      <c r="SHO228" s="12"/>
      <c r="SHP228" s="12"/>
      <c r="SHQ228" s="12"/>
      <c r="SHR228" s="12"/>
      <c r="SHS228" s="12"/>
      <c r="SHT228" s="12"/>
      <c r="SHU228" s="12"/>
      <c r="SHV228" s="12"/>
      <c r="SHW228" s="12"/>
      <c r="SHX228" s="12"/>
      <c r="SHY228" s="12"/>
      <c r="SHZ228" s="12"/>
      <c r="SIA228" s="12"/>
      <c r="SIB228" s="12"/>
      <c r="SIC228" s="12"/>
      <c r="SID228" s="12"/>
      <c r="SIE228" s="12"/>
      <c r="SIF228" s="12"/>
      <c r="SIG228" s="12"/>
      <c r="SIH228" s="12"/>
      <c r="SII228" s="12"/>
      <c r="SIJ228" s="12"/>
      <c r="SIK228" s="12"/>
      <c r="SIL228" s="12"/>
      <c r="SIM228" s="12"/>
      <c r="SIN228" s="12"/>
      <c r="SIO228" s="12"/>
      <c r="SIP228" s="12"/>
      <c r="SIQ228" s="12"/>
      <c r="SIR228" s="12"/>
      <c r="SIS228" s="12"/>
      <c r="SIT228" s="12"/>
      <c r="SIU228" s="12"/>
      <c r="SIV228" s="12"/>
      <c r="SIW228" s="12"/>
      <c r="SIX228" s="12"/>
      <c r="SIY228" s="12"/>
      <c r="SIZ228" s="12"/>
      <c r="SJA228" s="12"/>
      <c r="SJB228" s="12"/>
      <c r="SJC228" s="12"/>
      <c r="SJD228" s="12"/>
      <c r="SJE228" s="12"/>
      <c r="SJF228" s="12"/>
      <c r="SJG228" s="12"/>
      <c r="SJH228" s="12"/>
      <c r="SJI228" s="12"/>
      <c r="SJJ228" s="12"/>
      <c r="SJK228" s="12"/>
      <c r="SJL228" s="12"/>
      <c r="SJM228" s="12"/>
      <c r="SJN228" s="12"/>
      <c r="SJO228" s="12"/>
      <c r="SJP228" s="12"/>
      <c r="SJQ228" s="12"/>
      <c r="SJR228" s="12"/>
      <c r="SJS228" s="12"/>
      <c r="SJT228" s="12"/>
      <c r="SJU228" s="12"/>
      <c r="SJV228" s="12"/>
      <c r="SJW228" s="12"/>
      <c r="SJX228" s="12"/>
      <c r="SJY228" s="12"/>
      <c r="SJZ228" s="12"/>
      <c r="SKA228" s="12"/>
      <c r="SKB228" s="12"/>
      <c r="SKC228" s="12"/>
      <c r="SKD228" s="12"/>
      <c r="SKE228" s="12"/>
      <c r="SKF228" s="12"/>
      <c r="SKG228" s="12"/>
      <c r="SKH228" s="12"/>
      <c r="SKI228" s="12"/>
      <c r="SKJ228" s="12"/>
      <c r="SKK228" s="12"/>
      <c r="SKL228" s="12"/>
      <c r="SKM228" s="12"/>
      <c r="SKN228" s="12"/>
      <c r="SKO228" s="12"/>
      <c r="SKP228" s="12"/>
      <c r="SKQ228" s="12"/>
      <c r="SKR228" s="12"/>
      <c r="SKS228" s="12"/>
      <c r="SKT228" s="12"/>
      <c r="SKU228" s="12"/>
      <c r="SKV228" s="12"/>
      <c r="SKW228" s="12"/>
      <c r="SKX228" s="12"/>
      <c r="SKY228" s="12"/>
      <c r="SKZ228" s="12"/>
      <c r="SLA228" s="12"/>
      <c r="SLB228" s="12"/>
      <c r="SLC228" s="12"/>
      <c r="SLD228" s="12"/>
      <c r="SLE228" s="12"/>
      <c r="SLF228" s="12"/>
      <c r="SLG228" s="12"/>
      <c r="SLH228" s="12"/>
      <c r="SLI228" s="12"/>
      <c r="SLJ228" s="12"/>
      <c r="SLK228" s="12"/>
      <c r="SLL228" s="12"/>
      <c r="SLM228" s="12"/>
      <c r="SLN228" s="12"/>
      <c r="SLO228" s="12"/>
      <c r="SLP228" s="12"/>
      <c r="SLQ228" s="12"/>
      <c r="SLR228" s="12"/>
      <c r="SLS228" s="12"/>
      <c r="SLT228" s="12"/>
      <c r="SLU228" s="12"/>
      <c r="SLV228" s="12"/>
      <c r="SLW228" s="12"/>
      <c r="SLX228" s="12"/>
      <c r="SLY228" s="12"/>
      <c r="SLZ228" s="12"/>
      <c r="SMA228" s="12"/>
      <c r="SMB228" s="12"/>
      <c r="SMC228" s="12"/>
      <c r="SMD228" s="12"/>
      <c r="SME228" s="12"/>
      <c r="SMF228" s="12"/>
      <c r="SMG228" s="12"/>
      <c r="SMH228" s="12"/>
      <c r="SMI228" s="12"/>
      <c r="SMJ228" s="12"/>
      <c r="SMK228" s="12"/>
      <c r="SML228" s="12"/>
      <c r="SMM228" s="12"/>
      <c r="SMN228" s="12"/>
      <c r="SMO228" s="12"/>
      <c r="SMP228" s="12"/>
      <c r="SMQ228" s="12"/>
      <c r="SMR228" s="12"/>
      <c r="SMS228" s="12"/>
      <c r="SMT228" s="12"/>
      <c r="SMU228" s="12"/>
      <c r="SMV228" s="12"/>
      <c r="SMW228" s="12"/>
      <c r="SMX228" s="12"/>
      <c r="SMY228" s="12"/>
      <c r="SMZ228" s="12"/>
      <c r="SNA228" s="12"/>
      <c r="SNB228" s="12"/>
      <c r="SNC228" s="12"/>
      <c r="SND228" s="12"/>
      <c r="SNE228" s="12"/>
      <c r="SNF228" s="12"/>
      <c r="SNG228" s="12"/>
      <c r="SNH228" s="12"/>
      <c r="SNI228" s="12"/>
      <c r="SNJ228" s="12"/>
      <c r="SNK228" s="12"/>
      <c r="SNL228" s="12"/>
      <c r="SNM228" s="12"/>
      <c r="SNN228" s="12"/>
      <c r="SNO228" s="12"/>
      <c r="SNP228" s="12"/>
      <c r="SNQ228" s="12"/>
      <c r="SNR228" s="12"/>
      <c r="SNS228" s="12"/>
      <c r="SNT228" s="12"/>
      <c r="SNU228" s="12"/>
      <c r="SNV228" s="12"/>
      <c r="SNW228" s="12"/>
      <c r="SNX228" s="12"/>
      <c r="SNY228" s="12"/>
      <c r="SNZ228" s="12"/>
      <c r="SOA228" s="12"/>
      <c r="SOB228" s="12"/>
      <c r="SOC228" s="12"/>
      <c r="SOD228" s="12"/>
      <c r="SOE228" s="12"/>
      <c r="SOF228" s="12"/>
      <c r="SOG228" s="12"/>
      <c r="SOH228" s="12"/>
      <c r="SOI228" s="12"/>
      <c r="SOJ228" s="12"/>
      <c r="SOK228" s="12"/>
      <c r="SOL228" s="12"/>
      <c r="SOM228" s="12"/>
      <c r="SON228" s="12"/>
      <c r="SOO228" s="12"/>
      <c r="SOP228" s="12"/>
      <c r="SOQ228" s="12"/>
      <c r="SOR228" s="12"/>
      <c r="SOS228" s="12"/>
      <c r="SOT228" s="12"/>
      <c r="SOU228" s="12"/>
      <c r="SOV228" s="12"/>
      <c r="SOW228" s="12"/>
      <c r="SOX228" s="12"/>
      <c r="SOY228" s="12"/>
      <c r="SOZ228" s="12"/>
      <c r="SPA228" s="12"/>
      <c r="SPB228" s="12"/>
      <c r="SPC228" s="12"/>
      <c r="SPD228" s="12"/>
      <c r="SPE228" s="12"/>
      <c r="SPF228" s="12"/>
      <c r="SPG228" s="12"/>
      <c r="SPH228" s="12"/>
      <c r="SPI228" s="12"/>
      <c r="SPJ228" s="12"/>
      <c r="SPK228" s="12"/>
      <c r="SPL228" s="12"/>
      <c r="SPM228" s="12"/>
      <c r="SPN228" s="12"/>
      <c r="SPO228" s="12"/>
      <c r="SPP228" s="12"/>
      <c r="SPQ228" s="12"/>
      <c r="SPR228" s="12"/>
      <c r="SPS228" s="12"/>
      <c r="SPT228" s="12"/>
      <c r="SPU228" s="12"/>
      <c r="SPV228" s="12"/>
      <c r="SPW228" s="12"/>
      <c r="SPX228" s="12"/>
      <c r="SPY228" s="12"/>
      <c r="SPZ228" s="12"/>
      <c r="SQA228" s="12"/>
      <c r="SQB228" s="12"/>
      <c r="SQC228" s="12"/>
      <c r="SQD228" s="12"/>
      <c r="SQE228" s="12"/>
      <c r="SQF228" s="12"/>
      <c r="SQG228" s="12"/>
      <c r="SQH228" s="12"/>
      <c r="SQI228" s="12"/>
      <c r="SQJ228" s="12"/>
      <c r="SQK228" s="12"/>
      <c r="SQL228" s="12"/>
      <c r="SQM228" s="12"/>
      <c r="SQN228" s="12"/>
      <c r="SQO228" s="12"/>
      <c r="SQP228" s="12"/>
      <c r="SQQ228" s="12"/>
      <c r="SQR228" s="12"/>
      <c r="SQS228" s="12"/>
      <c r="SQT228" s="12"/>
      <c r="SQU228" s="12"/>
      <c r="SQV228" s="12"/>
      <c r="SQW228" s="12"/>
      <c r="SQX228" s="12"/>
      <c r="SQY228" s="12"/>
      <c r="SQZ228" s="12"/>
      <c r="SRA228" s="12"/>
      <c r="SRB228" s="12"/>
      <c r="SRC228" s="12"/>
      <c r="SRD228" s="12"/>
      <c r="SRE228" s="12"/>
      <c r="SRF228" s="12"/>
      <c r="SRG228" s="12"/>
      <c r="SRH228" s="12"/>
      <c r="SRI228" s="12"/>
      <c r="SRJ228" s="12"/>
      <c r="SRK228" s="12"/>
      <c r="SRL228" s="12"/>
      <c r="SRM228" s="12"/>
      <c r="SRN228" s="12"/>
      <c r="SRO228" s="12"/>
      <c r="SRP228" s="12"/>
      <c r="SRQ228" s="12"/>
      <c r="SRR228" s="12"/>
      <c r="SRS228" s="12"/>
      <c r="SRT228" s="12"/>
      <c r="SRU228" s="12"/>
      <c r="SRV228" s="12"/>
      <c r="SRW228" s="12"/>
      <c r="SRX228" s="12"/>
      <c r="SRY228" s="12"/>
      <c r="SRZ228" s="12"/>
      <c r="SSA228" s="12"/>
      <c r="SSB228" s="12"/>
      <c r="SSC228" s="12"/>
      <c r="SSD228" s="12"/>
      <c r="SSE228" s="12"/>
      <c r="SSF228" s="12"/>
      <c r="SSG228" s="12"/>
      <c r="SSH228" s="12"/>
      <c r="SSI228" s="12"/>
      <c r="SSJ228" s="12"/>
      <c r="SSK228" s="12"/>
      <c r="SSL228" s="12"/>
      <c r="SSM228" s="12"/>
      <c r="SSN228" s="12"/>
      <c r="SSO228" s="12"/>
      <c r="SSP228" s="12"/>
      <c r="SSQ228" s="12"/>
      <c r="SSR228" s="12"/>
      <c r="SSS228" s="12"/>
      <c r="SST228" s="12"/>
      <c r="SSU228" s="12"/>
      <c r="SSV228" s="12"/>
      <c r="SSW228" s="12"/>
      <c r="SSX228" s="12"/>
      <c r="SSY228" s="12"/>
      <c r="SSZ228" s="12"/>
      <c r="STA228" s="12"/>
      <c r="STB228" s="12"/>
      <c r="STC228" s="12"/>
      <c r="STD228" s="12"/>
      <c r="STE228" s="12"/>
      <c r="STF228" s="12"/>
      <c r="STG228" s="12"/>
      <c r="STH228" s="12"/>
      <c r="STI228" s="12"/>
      <c r="STJ228" s="12"/>
      <c r="STK228" s="12"/>
      <c r="STL228" s="12"/>
      <c r="STM228" s="12"/>
      <c r="STN228" s="12"/>
      <c r="STO228" s="12"/>
      <c r="STP228" s="12"/>
      <c r="STQ228" s="12"/>
      <c r="STR228" s="12"/>
      <c r="STS228" s="12"/>
      <c r="STT228" s="12"/>
      <c r="STU228" s="12"/>
      <c r="STV228" s="12"/>
      <c r="STW228" s="12"/>
      <c r="STX228" s="12"/>
      <c r="STY228" s="12"/>
      <c r="STZ228" s="12"/>
      <c r="SUA228" s="12"/>
      <c r="SUB228" s="12"/>
      <c r="SUC228" s="12"/>
      <c r="SUD228" s="12"/>
      <c r="SUE228" s="12"/>
      <c r="SUF228" s="12"/>
      <c r="SUG228" s="12"/>
      <c r="SUH228" s="12"/>
      <c r="SUI228" s="12"/>
      <c r="SUJ228" s="12"/>
      <c r="SUK228" s="12"/>
      <c r="SUL228" s="12"/>
      <c r="SUM228" s="12"/>
      <c r="SUN228" s="12"/>
      <c r="SUO228" s="12"/>
      <c r="SUP228" s="12"/>
      <c r="SUQ228" s="12"/>
      <c r="SUR228" s="12"/>
      <c r="SUS228" s="12"/>
      <c r="SUT228" s="12"/>
      <c r="SUU228" s="12"/>
      <c r="SUV228" s="12"/>
      <c r="SUW228" s="12"/>
      <c r="SUX228" s="12"/>
      <c r="SUY228" s="12"/>
      <c r="SUZ228" s="12"/>
      <c r="SVA228" s="12"/>
      <c r="SVB228" s="12"/>
      <c r="SVC228" s="12"/>
      <c r="SVD228" s="12"/>
      <c r="SVE228" s="12"/>
      <c r="SVF228" s="12"/>
      <c r="SVG228" s="12"/>
      <c r="SVH228" s="12"/>
      <c r="SVI228" s="12"/>
      <c r="SVJ228" s="12"/>
      <c r="SVK228" s="12"/>
      <c r="SVL228" s="12"/>
      <c r="SVM228" s="12"/>
      <c r="SVN228" s="12"/>
      <c r="SVO228" s="12"/>
      <c r="SVP228" s="12"/>
      <c r="SVQ228" s="12"/>
      <c r="SVR228" s="12"/>
      <c r="SVS228" s="12"/>
      <c r="SVT228" s="12"/>
      <c r="SVU228" s="12"/>
      <c r="SVV228" s="12"/>
      <c r="SVW228" s="12"/>
      <c r="SVX228" s="12"/>
      <c r="SVY228" s="12"/>
      <c r="SVZ228" s="12"/>
      <c r="SWA228" s="12"/>
      <c r="SWB228" s="12"/>
      <c r="SWC228" s="12"/>
      <c r="SWD228" s="12"/>
      <c r="SWE228" s="12"/>
      <c r="SWF228" s="12"/>
      <c r="SWG228" s="12"/>
      <c r="SWH228" s="12"/>
      <c r="SWI228" s="12"/>
      <c r="SWJ228" s="12"/>
      <c r="SWK228" s="12"/>
      <c r="SWL228" s="12"/>
      <c r="SWM228" s="12"/>
      <c r="SWN228" s="12"/>
      <c r="SWO228" s="12"/>
      <c r="SWP228" s="12"/>
      <c r="SWQ228" s="12"/>
      <c r="SWR228" s="12"/>
      <c r="SWS228" s="12"/>
      <c r="SWT228" s="12"/>
      <c r="SWU228" s="12"/>
      <c r="SWV228" s="12"/>
      <c r="SWW228" s="12"/>
      <c r="SWX228" s="12"/>
      <c r="SWY228" s="12"/>
      <c r="SWZ228" s="12"/>
      <c r="SXA228" s="12"/>
      <c r="SXB228" s="12"/>
      <c r="SXC228" s="12"/>
      <c r="SXD228" s="12"/>
      <c r="SXE228" s="12"/>
      <c r="SXF228" s="12"/>
      <c r="SXG228" s="12"/>
      <c r="SXH228" s="12"/>
      <c r="SXI228" s="12"/>
      <c r="SXJ228" s="12"/>
      <c r="SXK228" s="12"/>
      <c r="SXL228" s="12"/>
      <c r="SXM228" s="12"/>
      <c r="SXN228" s="12"/>
      <c r="SXO228" s="12"/>
      <c r="SXP228" s="12"/>
      <c r="SXQ228" s="12"/>
      <c r="SXR228" s="12"/>
      <c r="SXS228" s="12"/>
      <c r="SXT228" s="12"/>
      <c r="SXU228" s="12"/>
      <c r="SXV228" s="12"/>
      <c r="SXW228" s="12"/>
      <c r="SXX228" s="12"/>
      <c r="SXY228" s="12"/>
      <c r="SXZ228" s="12"/>
      <c r="SYA228" s="12"/>
      <c r="SYB228" s="12"/>
      <c r="SYC228" s="12"/>
      <c r="SYD228" s="12"/>
      <c r="SYE228" s="12"/>
      <c r="SYF228" s="12"/>
      <c r="SYG228" s="12"/>
      <c r="SYH228" s="12"/>
      <c r="SYI228" s="12"/>
      <c r="SYJ228" s="12"/>
      <c r="SYK228" s="12"/>
      <c r="SYL228" s="12"/>
      <c r="SYM228" s="12"/>
      <c r="SYN228" s="12"/>
      <c r="SYO228" s="12"/>
      <c r="SYP228" s="12"/>
      <c r="SYQ228" s="12"/>
      <c r="SYR228" s="12"/>
      <c r="SYS228" s="12"/>
      <c r="SYT228" s="12"/>
      <c r="SYU228" s="12"/>
      <c r="SYV228" s="12"/>
      <c r="SYW228" s="12"/>
      <c r="SYX228" s="12"/>
      <c r="SYY228" s="12"/>
      <c r="SYZ228" s="12"/>
      <c r="SZA228" s="12"/>
      <c r="SZB228" s="12"/>
      <c r="SZC228" s="12"/>
      <c r="SZD228" s="12"/>
      <c r="SZE228" s="12"/>
      <c r="SZF228" s="12"/>
      <c r="SZG228" s="12"/>
      <c r="SZH228" s="12"/>
      <c r="SZI228" s="12"/>
      <c r="SZJ228" s="12"/>
      <c r="SZK228" s="12"/>
      <c r="SZL228" s="12"/>
      <c r="SZM228" s="12"/>
      <c r="SZN228" s="12"/>
      <c r="SZO228" s="12"/>
      <c r="SZP228" s="12"/>
      <c r="SZQ228" s="12"/>
      <c r="SZR228" s="12"/>
      <c r="SZS228" s="12"/>
      <c r="SZT228" s="12"/>
      <c r="SZU228" s="12"/>
      <c r="SZV228" s="12"/>
      <c r="SZW228" s="12"/>
      <c r="SZX228" s="12"/>
      <c r="SZY228" s="12"/>
      <c r="SZZ228" s="12"/>
      <c r="TAA228" s="12"/>
      <c r="TAB228" s="12"/>
      <c r="TAC228" s="12"/>
      <c r="TAD228" s="12"/>
      <c r="TAE228" s="12"/>
      <c r="TAF228" s="12"/>
      <c r="TAG228" s="12"/>
      <c r="TAH228" s="12"/>
      <c r="TAI228" s="12"/>
      <c r="TAJ228" s="12"/>
      <c r="TAK228" s="12"/>
      <c r="TAL228" s="12"/>
      <c r="TAM228" s="12"/>
      <c r="TAN228" s="12"/>
      <c r="TAO228" s="12"/>
      <c r="TAP228" s="12"/>
      <c r="TAQ228" s="12"/>
      <c r="TAR228" s="12"/>
      <c r="TAS228" s="12"/>
      <c r="TAT228" s="12"/>
      <c r="TAU228" s="12"/>
      <c r="TAV228" s="12"/>
      <c r="TAW228" s="12"/>
      <c r="TAX228" s="12"/>
      <c r="TAY228" s="12"/>
      <c r="TAZ228" s="12"/>
      <c r="TBA228" s="12"/>
      <c r="TBB228" s="12"/>
      <c r="TBC228" s="12"/>
      <c r="TBD228" s="12"/>
      <c r="TBE228" s="12"/>
      <c r="TBF228" s="12"/>
      <c r="TBG228" s="12"/>
      <c r="TBH228" s="12"/>
      <c r="TBI228" s="12"/>
      <c r="TBJ228" s="12"/>
      <c r="TBK228" s="12"/>
      <c r="TBL228" s="12"/>
      <c r="TBM228" s="12"/>
      <c r="TBN228" s="12"/>
      <c r="TBO228" s="12"/>
      <c r="TBP228" s="12"/>
      <c r="TBQ228" s="12"/>
      <c r="TBR228" s="12"/>
      <c r="TBS228" s="12"/>
      <c r="TBT228" s="12"/>
      <c r="TBU228" s="12"/>
      <c r="TBV228" s="12"/>
      <c r="TBW228" s="12"/>
      <c r="TBX228" s="12"/>
      <c r="TBY228" s="12"/>
      <c r="TBZ228" s="12"/>
      <c r="TCA228" s="12"/>
      <c r="TCB228" s="12"/>
      <c r="TCC228" s="12"/>
      <c r="TCD228" s="12"/>
      <c r="TCE228" s="12"/>
      <c r="TCF228" s="12"/>
      <c r="TCG228" s="12"/>
      <c r="TCH228" s="12"/>
      <c r="TCI228" s="12"/>
      <c r="TCJ228" s="12"/>
      <c r="TCK228" s="12"/>
      <c r="TCL228" s="12"/>
      <c r="TCM228" s="12"/>
      <c r="TCN228" s="12"/>
      <c r="TCO228" s="12"/>
      <c r="TCP228" s="12"/>
      <c r="TCQ228" s="12"/>
      <c r="TCR228" s="12"/>
      <c r="TCS228" s="12"/>
      <c r="TCT228" s="12"/>
      <c r="TCU228" s="12"/>
      <c r="TCV228" s="12"/>
      <c r="TCW228" s="12"/>
      <c r="TCX228" s="12"/>
      <c r="TCY228" s="12"/>
      <c r="TCZ228" s="12"/>
      <c r="TDA228" s="12"/>
      <c r="TDB228" s="12"/>
      <c r="TDC228" s="12"/>
      <c r="TDD228" s="12"/>
      <c r="TDE228" s="12"/>
      <c r="TDF228" s="12"/>
      <c r="TDG228" s="12"/>
      <c r="TDH228" s="12"/>
      <c r="TDI228" s="12"/>
      <c r="TDJ228" s="12"/>
      <c r="TDK228" s="12"/>
      <c r="TDL228" s="12"/>
      <c r="TDM228" s="12"/>
      <c r="TDN228" s="12"/>
      <c r="TDO228" s="12"/>
      <c r="TDP228" s="12"/>
      <c r="TDQ228" s="12"/>
      <c r="TDR228" s="12"/>
      <c r="TDS228" s="12"/>
      <c r="TDT228" s="12"/>
      <c r="TDU228" s="12"/>
      <c r="TDV228" s="12"/>
      <c r="TDW228" s="12"/>
      <c r="TDX228" s="12"/>
      <c r="TDY228" s="12"/>
      <c r="TDZ228" s="12"/>
      <c r="TEA228" s="12"/>
      <c r="TEB228" s="12"/>
      <c r="TEC228" s="12"/>
      <c r="TED228" s="12"/>
      <c r="TEE228" s="12"/>
      <c r="TEF228" s="12"/>
      <c r="TEG228" s="12"/>
      <c r="TEH228" s="12"/>
      <c r="TEI228" s="12"/>
      <c r="TEJ228" s="12"/>
      <c r="TEK228" s="12"/>
      <c r="TEL228" s="12"/>
      <c r="TEM228" s="12"/>
      <c r="TEN228" s="12"/>
      <c r="TEO228" s="12"/>
      <c r="TEP228" s="12"/>
      <c r="TEQ228" s="12"/>
      <c r="TER228" s="12"/>
      <c r="TES228" s="12"/>
      <c r="TET228" s="12"/>
      <c r="TEU228" s="12"/>
      <c r="TEV228" s="12"/>
      <c r="TEW228" s="12"/>
      <c r="TEX228" s="12"/>
      <c r="TEY228" s="12"/>
      <c r="TEZ228" s="12"/>
      <c r="TFA228" s="12"/>
      <c r="TFB228" s="12"/>
      <c r="TFC228" s="12"/>
      <c r="TFD228" s="12"/>
      <c r="TFE228" s="12"/>
      <c r="TFF228" s="12"/>
      <c r="TFG228" s="12"/>
      <c r="TFH228" s="12"/>
      <c r="TFI228" s="12"/>
      <c r="TFJ228" s="12"/>
      <c r="TFK228" s="12"/>
      <c r="TFL228" s="12"/>
      <c r="TFM228" s="12"/>
      <c r="TFN228" s="12"/>
      <c r="TFO228" s="12"/>
      <c r="TFP228" s="12"/>
      <c r="TFQ228" s="12"/>
      <c r="TFR228" s="12"/>
      <c r="TFS228" s="12"/>
      <c r="TFT228" s="12"/>
      <c r="TFU228" s="12"/>
      <c r="TFV228" s="12"/>
      <c r="TFW228" s="12"/>
      <c r="TFX228" s="12"/>
      <c r="TFY228" s="12"/>
      <c r="TFZ228" s="12"/>
      <c r="TGA228" s="12"/>
      <c r="TGB228" s="12"/>
      <c r="TGC228" s="12"/>
      <c r="TGD228" s="12"/>
      <c r="TGE228" s="12"/>
      <c r="TGF228" s="12"/>
      <c r="TGG228" s="12"/>
      <c r="TGH228" s="12"/>
      <c r="TGI228" s="12"/>
      <c r="TGJ228" s="12"/>
      <c r="TGK228" s="12"/>
      <c r="TGL228" s="12"/>
      <c r="TGM228" s="12"/>
      <c r="TGN228" s="12"/>
      <c r="TGO228" s="12"/>
      <c r="TGP228" s="12"/>
      <c r="TGQ228" s="12"/>
      <c r="TGR228" s="12"/>
      <c r="TGS228" s="12"/>
      <c r="TGT228" s="12"/>
      <c r="TGU228" s="12"/>
      <c r="TGV228" s="12"/>
      <c r="TGW228" s="12"/>
      <c r="TGX228" s="12"/>
      <c r="TGY228" s="12"/>
      <c r="TGZ228" s="12"/>
      <c r="THA228" s="12"/>
      <c r="THB228" s="12"/>
      <c r="THC228" s="12"/>
      <c r="THD228" s="12"/>
      <c r="THE228" s="12"/>
      <c r="THF228" s="12"/>
      <c r="THG228" s="12"/>
      <c r="THH228" s="12"/>
      <c r="THI228" s="12"/>
      <c r="THJ228" s="12"/>
      <c r="THK228" s="12"/>
      <c r="THL228" s="12"/>
      <c r="THM228" s="12"/>
      <c r="THN228" s="12"/>
      <c r="THO228" s="12"/>
      <c r="THP228" s="12"/>
      <c r="THQ228" s="12"/>
      <c r="THR228" s="12"/>
      <c r="THS228" s="12"/>
      <c r="THT228" s="12"/>
      <c r="THU228" s="12"/>
      <c r="THV228" s="12"/>
      <c r="THW228" s="12"/>
      <c r="THX228" s="12"/>
      <c r="THY228" s="12"/>
      <c r="THZ228" s="12"/>
      <c r="TIA228" s="12"/>
      <c r="TIB228" s="12"/>
      <c r="TIC228" s="12"/>
      <c r="TID228" s="12"/>
      <c r="TIE228" s="12"/>
      <c r="TIF228" s="12"/>
      <c r="TIG228" s="12"/>
      <c r="TIH228" s="12"/>
      <c r="TII228" s="12"/>
      <c r="TIJ228" s="12"/>
      <c r="TIK228" s="12"/>
      <c r="TIL228" s="12"/>
      <c r="TIM228" s="12"/>
      <c r="TIN228" s="12"/>
      <c r="TIO228" s="12"/>
      <c r="TIP228" s="12"/>
      <c r="TIQ228" s="12"/>
      <c r="TIR228" s="12"/>
      <c r="TIS228" s="12"/>
      <c r="TIT228" s="12"/>
      <c r="TIU228" s="12"/>
      <c r="TIV228" s="12"/>
      <c r="TIW228" s="12"/>
      <c r="TIX228" s="12"/>
      <c r="TIY228" s="12"/>
      <c r="TIZ228" s="12"/>
      <c r="TJA228" s="12"/>
      <c r="TJB228" s="12"/>
      <c r="TJC228" s="12"/>
      <c r="TJD228" s="12"/>
      <c r="TJE228" s="12"/>
      <c r="TJF228" s="12"/>
      <c r="TJG228" s="12"/>
      <c r="TJH228" s="12"/>
      <c r="TJI228" s="12"/>
      <c r="TJJ228" s="12"/>
      <c r="TJK228" s="12"/>
      <c r="TJL228" s="12"/>
      <c r="TJM228" s="12"/>
      <c r="TJN228" s="12"/>
      <c r="TJO228" s="12"/>
      <c r="TJP228" s="12"/>
      <c r="TJQ228" s="12"/>
      <c r="TJR228" s="12"/>
      <c r="TJS228" s="12"/>
      <c r="TJT228" s="12"/>
      <c r="TJU228" s="12"/>
      <c r="TJV228" s="12"/>
      <c r="TJW228" s="12"/>
      <c r="TJX228" s="12"/>
      <c r="TJY228" s="12"/>
      <c r="TJZ228" s="12"/>
      <c r="TKA228" s="12"/>
      <c r="TKB228" s="12"/>
      <c r="TKC228" s="12"/>
      <c r="TKD228" s="12"/>
      <c r="TKE228" s="12"/>
      <c r="TKF228" s="12"/>
      <c r="TKG228" s="12"/>
      <c r="TKH228" s="12"/>
      <c r="TKI228" s="12"/>
      <c r="TKJ228" s="12"/>
      <c r="TKK228" s="12"/>
      <c r="TKL228" s="12"/>
      <c r="TKM228" s="12"/>
      <c r="TKN228" s="12"/>
      <c r="TKO228" s="12"/>
      <c r="TKP228" s="12"/>
      <c r="TKQ228" s="12"/>
      <c r="TKR228" s="12"/>
      <c r="TKS228" s="12"/>
      <c r="TKT228" s="12"/>
      <c r="TKU228" s="12"/>
      <c r="TKV228" s="12"/>
      <c r="TKW228" s="12"/>
      <c r="TKX228" s="12"/>
      <c r="TKY228" s="12"/>
      <c r="TKZ228" s="12"/>
      <c r="TLA228" s="12"/>
      <c r="TLB228" s="12"/>
      <c r="TLC228" s="12"/>
      <c r="TLD228" s="12"/>
      <c r="TLE228" s="12"/>
      <c r="TLF228" s="12"/>
      <c r="TLG228" s="12"/>
      <c r="TLH228" s="12"/>
      <c r="TLI228" s="12"/>
      <c r="TLJ228" s="12"/>
      <c r="TLK228" s="12"/>
      <c r="TLL228" s="12"/>
      <c r="TLM228" s="12"/>
      <c r="TLN228" s="12"/>
      <c r="TLO228" s="12"/>
      <c r="TLP228" s="12"/>
      <c r="TLQ228" s="12"/>
      <c r="TLR228" s="12"/>
      <c r="TLS228" s="12"/>
      <c r="TLT228" s="12"/>
      <c r="TLU228" s="12"/>
      <c r="TLV228" s="12"/>
      <c r="TLW228" s="12"/>
      <c r="TLX228" s="12"/>
      <c r="TLY228" s="12"/>
      <c r="TLZ228" s="12"/>
      <c r="TMA228" s="12"/>
      <c r="TMB228" s="12"/>
      <c r="TMC228" s="12"/>
      <c r="TMD228" s="12"/>
      <c r="TME228" s="12"/>
      <c r="TMF228" s="12"/>
      <c r="TMG228" s="12"/>
      <c r="TMH228" s="12"/>
      <c r="TMI228" s="12"/>
      <c r="TMJ228" s="12"/>
      <c r="TMK228" s="12"/>
      <c r="TML228" s="12"/>
      <c r="TMM228" s="12"/>
      <c r="TMN228" s="12"/>
      <c r="TMO228" s="12"/>
      <c r="TMP228" s="12"/>
      <c r="TMQ228" s="12"/>
      <c r="TMR228" s="12"/>
      <c r="TMS228" s="12"/>
      <c r="TMT228" s="12"/>
      <c r="TMU228" s="12"/>
      <c r="TMV228" s="12"/>
      <c r="TMW228" s="12"/>
      <c r="TMX228" s="12"/>
      <c r="TMY228" s="12"/>
      <c r="TMZ228" s="12"/>
      <c r="TNA228" s="12"/>
      <c r="TNB228" s="12"/>
      <c r="TNC228" s="12"/>
      <c r="TND228" s="12"/>
      <c r="TNE228" s="12"/>
      <c r="TNF228" s="12"/>
      <c r="TNG228" s="12"/>
      <c r="TNH228" s="12"/>
      <c r="TNI228" s="12"/>
      <c r="TNJ228" s="12"/>
      <c r="TNK228" s="12"/>
      <c r="TNL228" s="12"/>
      <c r="TNM228" s="12"/>
      <c r="TNN228" s="12"/>
      <c r="TNO228" s="12"/>
      <c r="TNP228" s="12"/>
      <c r="TNQ228" s="12"/>
      <c r="TNR228" s="12"/>
      <c r="TNS228" s="12"/>
      <c r="TNT228" s="12"/>
      <c r="TNU228" s="12"/>
      <c r="TNV228" s="12"/>
      <c r="TNW228" s="12"/>
      <c r="TNX228" s="12"/>
      <c r="TNY228" s="12"/>
      <c r="TNZ228" s="12"/>
      <c r="TOA228" s="12"/>
      <c r="TOB228" s="12"/>
      <c r="TOC228" s="12"/>
      <c r="TOD228" s="12"/>
      <c r="TOE228" s="12"/>
      <c r="TOF228" s="12"/>
      <c r="TOG228" s="12"/>
      <c r="TOH228" s="12"/>
      <c r="TOI228" s="12"/>
      <c r="TOJ228" s="12"/>
      <c r="TOK228" s="12"/>
      <c r="TOL228" s="12"/>
      <c r="TOM228" s="12"/>
      <c r="TON228" s="12"/>
      <c r="TOO228" s="12"/>
      <c r="TOP228" s="12"/>
      <c r="TOQ228" s="12"/>
      <c r="TOR228" s="12"/>
      <c r="TOS228" s="12"/>
      <c r="TOT228" s="12"/>
      <c r="TOU228" s="12"/>
      <c r="TOV228" s="12"/>
      <c r="TOW228" s="12"/>
      <c r="TOX228" s="12"/>
      <c r="TOY228" s="12"/>
      <c r="TOZ228" s="12"/>
      <c r="TPA228" s="12"/>
      <c r="TPB228" s="12"/>
      <c r="TPC228" s="12"/>
      <c r="TPD228" s="12"/>
      <c r="TPE228" s="12"/>
      <c r="TPF228" s="12"/>
      <c r="TPG228" s="12"/>
      <c r="TPH228" s="12"/>
      <c r="TPI228" s="12"/>
      <c r="TPJ228" s="12"/>
      <c r="TPK228" s="12"/>
      <c r="TPL228" s="12"/>
      <c r="TPM228" s="12"/>
      <c r="TPN228" s="12"/>
      <c r="TPO228" s="12"/>
      <c r="TPP228" s="12"/>
      <c r="TPQ228" s="12"/>
      <c r="TPR228" s="12"/>
      <c r="TPS228" s="12"/>
      <c r="TPT228" s="12"/>
      <c r="TPU228" s="12"/>
      <c r="TPV228" s="12"/>
      <c r="TPW228" s="12"/>
      <c r="TPX228" s="12"/>
      <c r="TPY228" s="12"/>
      <c r="TPZ228" s="12"/>
      <c r="TQA228" s="12"/>
      <c r="TQB228" s="12"/>
      <c r="TQC228" s="12"/>
      <c r="TQD228" s="12"/>
      <c r="TQE228" s="12"/>
      <c r="TQF228" s="12"/>
      <c r="TQG228" s="12"/>
      <c r="TQH228" s="12"/>
      <c r="TQI228" s="12"/>
      <c r="TQJ228" s="12"/>
      <c r="TQK228" s="12"/>
      <c r="TQL228" s="12"/>
      <c r="TQM228" s="12"/>
      <c r="TQN228" s="12"/>
      <c r="TQO228" s="12"/>
      <c r="TQP228" s="12"/>
      <c r="TQQ228" s="12"/>
      <c r="TQR228" s="12"/>
      <c r="TQS228" s="12"/>
      <c r="TQT228" s="12"/>
      <c r="TQU228" s="12"/>
      <c r="TQV228" s="12"/>
      <c r="TQW228" s="12"/>
      <c r="TQX228" s="12"/>
      <c r="TQY228" s="12"/>
      <c r="TQZ228" s="12"/>
      <c r="TRA228" s="12"/>
      <c r="TRB228" s="12"/>
      <c r="TRC228" s="12"/>
      <c r="TRD228" s="12"/>
      <c r="TRE228" s="12"/>
      <c r="TRF228" s="12"/>
      <c r="TRG228" s="12"/>
      <c r="TRH228" s="12"/>
      <c r="TRI228" s="12"/>
      <c r="TRJ228" s="12"/>
      <c r="TRK228" s="12"/>
      <c r="TRL228" s="12"/>
      <c r="TRM228" s="12"/>
      <c r="TRN228" s="12"/>
      <c r="TRO228" s="12"/>
      <c r="TRP228" s="12"/>
      <c r="TRQ228" s="12"/>
      <c r="TRR228" s="12"/>
      <c r="TRS228" s="12"/>
      <c r="TRT228" s="12"/>
      <c r="TRU228" s="12"/>
      <c r="TRV228" s="12"/>
      <c r="TRW228" s="12"/>
      <c r="TRX228" s="12"/>
      <c r="TRY228" s="12"/>
      <c r="TRZ228" s="12"/>
      <c r="TSA228" s="12"/>
      <c r="TSB228" s="12"/>
      <c r="TSC228" s="12"/>
      <c r="TSD228" s="12"/>
      <c r="TSE228" s="12"/>
      <c r="TSF228" s="12"/>
      <c r="TSG228" s="12"/>
      <c r="TSH228" s="12"/>
      <c r="TSI228" s="12"/>
      <c r="TSJ228" s="12"/>
      <c r="TSK228" s="12"/>
      <c r="TSL228" s="12"/>
      <c r="TSM228" s="12"/>
      <c r="TSN228" s="12"/>
      <c r="TSO228" s="12"/>
      <c r="TSP228" s="12"/>
      <c r="TSQ228" s="12"/>
      <c r="TSR228" s="12"/>
      <c r="TSS228" s="12"/>
      <c r="TST228" s="12"/>
      <c r="TSU228" s="12"/>
      <c r="TSV228" s="12"/>
      <c r="TSW228" s="12"/>
      <c r="TSX228" s="12"/>
      <c r="TSY228" s="12"/>
      <c r="TSZ228" s="12"/>
      <c r="TTA228" s="12"/>
      <c r="TTB228" s="12"/>
      <c r="TTC228" s="12"/>
      <c r="TTD228" s="12"/>
      <c r="TTE228" s="12"/>
      <c r="TTF228" s="12"/>
      <c r="TTG228" s="12"/>
      <c r="TTH228" s="12"/>
      <c r="TTI228" s="12"/>
      <c r="TTJ228" s="12"/>
      <c r="TTK228" s="12"/>
      <c r="TTL228" s="12"/>
      <c r="TTM228" s="12"/>
      <c r="TTN228" s="12"/>
      <c r="TTO228" s="12"/>
      <c r="TTP228" s="12"/>
      <c r="TTQ228" s="12"/>
      <c r="TTR228" s="12"/>
      <c r="TTS228" s="12"/>
      <c r="TTT228" s="12"/>
      <c r="TTU228" s="12"/>
      <c r="TTV228" s="12"/>
      <c r="TTW228" s="12"/>
      <c r="TTX228" s="12"/>
      <c r="TTY228" s="12"/>
      <c r="TTZ228" s="12"/>
      <c r="TUA228" s="12"/>
      <c r="TUB228" s="12"/>
      <c r="TUC228" s="12"/>
      <c r="TUD228" s="12"/>
      <c r="TUE228" s="12"/>
      <c r="TUF228" s="12"/>
      <c r="TUG228" s="12"/>
      <c r="TUH228" s="12"/>
      <c r="TUI228" s="12"/>
      <c r="TUJ228" s="12"/>
      <c r="TUK228" s="12"/>
      <c r="TUL228" s="12"/>
      <c r="TUM228" s="12"/>
      <c r="TUN228" s="12"/>
      <c r="TUO228" s="12"/>
      <c r="TUP228" s="12"/>
      <c r="TUQ228" s="12"/>
      <c r="TUR228" s="12"/>
      <c r="TUS228" s="12"/>
      <c r="TUT228" s="12"/>
      <c r="TUU228" s="12"/>
      <c r="TUV228" s="12"/>
      <c r="TUW228" s="12"/>
      <c r="TUX228" s="12"/>
      <c r="TUY228" s="12"/>
      <c r="TUZ228" s="12"/>
      <c r="TVA228" s="12"/>
      <c r="TVB228" s="12"/>
      <c r="TVC228" s="12"/>
      <c r="TVD228" s="12"/>
      <c r="TVE228" s="12"/>
      <c r="TVF228" s="12"/>
      <c r="TVG228" s="12"/>
      <c r="TVH228" s="12"/>
      <c r="TVI228" s="12"/>
      <c r="TVJ228" s="12"/>
      <c r="TVK228" s="12"/>
      <c r="TVL228" s="12"/>
      <c r="TVM228" s="12"/>
      <c r="TVN228" s="12"/>
      <c r="TVO228" s="12"/>
      <c r="TVP228" s="12"/>
      <c r="TVQ228" s="12"/>
      <c r="TVR228" s="12"/>
      <c r="TVS228" s="12"/>
      <c r="TVT228" s="12"/>
      <c r="TVU228" s="12"/>
      <c r="TVV228" s="12"/>
      <c r="TVW228" s="12"/>
      <c r="TVX228" s="12"/>
      <c r="TVY228" s="12"/>
      <c r="TVZ228" s="12"/>
      <c r="TWA228" s="12"/>
      <c r="TWB228" s="12"/>
      <c r="TWC228" s="12"/>
      <c r="TWD228" s="12"/>
      <c r="TWE228" s="12"/>
      <c r="TWF228" s="12"/>
      <c r="TWG228" s="12"/>
      <c r="TWH228" s="12"/>
      <c r="TWI228" s="12"/>
      <c r="TWJ228" s="12"/>
      <c r="TWK228" s="12"/>
      <c r="TWL228" s="12"/>
      <c r="TWM228" s="12"/>
      <c r="TWN228" s="12"/>
      <c r="TWO228" s="12"/>
      <c r="TWP228" s="12"/>
      <c r="TWQ228" s="12"/>
      <c r="TWR228" s="12"/>
      <c r="TWS228" s="12"/>
      <c r="TWT228" s="12"/>
      <c r="TWU228" s="12"/>
      <c r="TWV228" s="12"/>
      <c r="TWW228" s="12"/>
      <c r="TWX228" s="12"/>
      <c r="TWY228" s="12"/>
      <c r="TWZ228" s="12"/>
      <c r="TXA228" s="12"/>
      <c r="TXB228" s="12"/>
      <c r="TXC228" s="12"/>
      <c r="TXD228" s="12"/>
      <c r="TXE228" s="12"/>
      <c r="TXF228" s="12"/>
      <c r="TXG228" s="12"/>
      <c r="TXH228" s="12"/>
      <c r="TXI228" s="12"/>
      <c r="TXJ228" s="12"/>
      <c r="TXK228" s="12"/>
      <c r="TXL228" s="12"/>
      <c r="TXM228" s="12"/>
      <c r="TXN228" s="12"/>
      <c r="TXO228" s="12"/>
      <c r="TXP228" s="12"/>
      <c r="TXQ228" s="12"/>
      <c r="TXR228" s="12"/>
      <c r="TXS228" s="12"/>
      <c r="TXT228" s="12"/>
      <c r="TXU228" s="12"/>
      <c r="TXV228" s="12"/>
      <c r="TXW228" s="12"/>
      <c r="TXX228" s="12"/>
      <c r="TXY228" s="12"/>
      <c r="TXZ228" s="12"/>
      <c r="TYA228" s="12"/>
      <c r="TYB228" s="12"/>
      <c r="TYC228" s="12"/>
      <c r="TYD228" s="12"/>
      <c r="TYE228" s="12"/>
      <c r="TYF228" s="12"/>
      <c r="TYG228" s="12"/>
      <c r="TYH228" s="12"/>
      <c r="TYI228" s="12"/>
      <c r="TYJ228" s="12"/>
      <c r="TYK228" s="12"/>
      <c r="TYL228" s="12"/>
      <c r="TYM228" s="12"/>
      <c r="TYN228" s="12"/>
      <c r="TYO228" s="12"/>
      <c r="TYP228" s="12"/>
      <c r="TYQ228" s="12"/>
      <c r="TYR228" s="12"/>
      <c r="TYS228" s="12"/>
      <c r="TYT228" s="12"/>
      <c r="TYU228" s="12"/>
      <c r="TYV228" s="12"/>
      <c r="TYW228" s="12"/>
      <c r="TYX228" s="12"/>
      <c r="TYY228" s="12"/>
      <c r="TYZ228" s="12"/>
      <c r="TZA228" s="12"/>
      <c r="TZB228" s="12"/>
      <c r="TZC228" s="12"/>
      <c r="TZD228" s="12"/>
      <c r="TZE228" s="12"/>
      <c r="TZF228" s="12"/>
      <c r="TZG228" s="12"/>
      <c r="TZH228" s="12"/>
      <c r="TZI228" s="12"/>
      <c r="TZJ228" s="12"/>
      <c r="TZK228" s="12"/>
      <c r="TZL228" s="12"/>
      <c r="TZM228" s="12"/>
      <c r="TZN228" s="12"/>
      <c r="TZO228" s="12"/>
      <c r="TZP228" s="12"/>
      <c r="TZQ228" s="12"/>
      <c r="TZR228" s="12"/>
      <c r="TZS228" s="12"/>
      <c r="TZT228" s="12"/>
      <c r="TZU228" s="12"/>
      <c r="TZV228" s="12"/>
      <c r="TZW228" s="12"/>
      <c r="TZX228" s="12"/>
      <c r="TZY228" s="12"/>
      <c r="TZZ228" s="12"/>
      <c r="UAA228" s="12"/>
      <c r="UAB228" s="12"/>
      <c r="UAC228" s="12"/>
      <c r="UAD228" s="12"/>
      <c r="UAE228" s="12"/>
      <c r="UAF228" s="12"/>
      <c r="UAG228" s="12"/>
      <c r="UAH228" s="12"/>
      <c r="UAI228" s="12"/>
      <c r="UAJ228" s="12"/>
      <c r="UAK228" s="12"/>
      <c r="UAL228" s="12"/>
      <c r="UAM228" s="12"/>
      <c r="UAN228" s="12"/>
      <c r="UAO228" s="12"/>
      <c r="UAP228" s="12"/>
      <c r="UAQ228" s="12"/>
      <c r="UAR228" s="12"/>
      <c r="UAS228" s="12"/>
      <c r="UAT228" s="12"/>
      <c r="UAU228" s="12"/>
      <c r="UAV228" s="12"/>
      <c r="UAW228" s="12"/>
      <c r="UAX228" s="12"/>
      <c r="UAY228" s="12"/>
      <c r="UAZ228" s="12"/>
      <c r="UBA228" s="12"/>
      <c r="UBB228" s="12"/>
      <c r="UBC228" s="12"/>
      <c r="UBD228" s="12"/>
      <c r="UBE228" s="12"/>
      <c r="UBF228" s="12"/>
      <c r="UBG228" s="12"/>
      <c r="UBH228" s="12"/>
      <c r="UBI228" s="12"/>
      <c r="UBJ228" s="12"/>
      <c r="UBK228" s="12"/>
      <c r="UBL228" s="12"/>
      <c r="UBM228" s="12"/>
      <c r="UBN228" s="12"/>
      <c r="UBO228" s="12"/>
      <c r="UBP228" s="12"/>
      <c r="UBQ228" s="12"/>
      <c r="UBR228" s="12"/>
      <c r="UBS228" s="12"/>
      <c r="UBT228" s="12"/>
      <c r="UBU228" s="12"/>
      <c r="UBV228" s="12"/>
      <c r="UBW228" s="12"/>
      <c r="UBX228" s="12"/>
      <c r="UBY228" s="12"/>
      <c r="UBZ228" s="12"/>
      <c r="UCA228" s="12"/>
      <c r="UCB228" s="12"/>
      <c r="UCC228" s="12"/>
      <c r="UCD228" s="12"/>
      <c r="UCE228" s="12"/>
      <c r="UCF228" s="12"/>
      <c r="UCG228" s="12"/>
      <c r="UCH228" s="12"/>
      <c r="UCI228" s="12"/>
      <c r="UCJ228" s="12"/>
      <c r="UCK228" s="12"/>
      <c r="UCL228" s="12"/>
      <c r="UCM228" s="12"/>
      <c r="UCN228" s="12"/>
      <c r="UCO228" s="12"/>
      <c r="UCP228" s="12"/>
      <c r="UCQ228" s="12"/>
      <c r="UCR228" s="12"/>
      <c r="UCS228" s="12"/>
      <c r="UCT228" s="12"/>
      <c r="UCU228" s="12"/>
      <c r="UCV228" s="12"/>
      <c r="UCW228" s="12"/>
      <c r="UCX228" s="12"/>
      <c r="UCY228" s="12"/>
      <c r="UCZ228" s="12"/>
      <c r="UDA228" s="12"/>
      <c r="UDB228" s="12"/>
      <c r="UDC228" s="12"/>
      <c r="UDD228" s="12"/>
      <c r="UDE228" s="12"/>
      <c r="UDF228" s="12"/>
      <c r="UDG228" s="12"/>
      <c r="UDH228" s="12"/>
      <c r="UDI228" s="12"/>
      <c r="UDJ228" s="12"/>
      <c r="UDK228" s="12"/>
      <c r="UDL228" s="12"/>
      <c r="UDM228" s="12"/>
      <c r="UDN228" s="12"/>
      <c r="UDO228" s="12"/>
      <c r="UDP228" s="12"/>
      <c r="UDQ228" s="12"/>
      <c r="UDR228" s="12"/>
      <c r="UDS228" s="12"/>
      <c r="UDT228" s="12"/>
      <c r="UDU228" s="12"/>
      <c r="UDV228" s="12"/>
      <c r="UDW228" s="12"/>
      <c r="UDX228" s="12"/>
      <c r="UDY228" s="12"/>
      <c r="UDZ228" s="12"/>
      <c r="UEA228" s="12"/>
      <c r="UEB228" s="12"/>
      <c r="UEC228" s="12"/>
      <c r="UED228" s="12"/>
      <c r="UEE228" s="12"/>
      <c r="UEF228" s="12"/>
      <c r="UEG228" s="12"/>
      <c r="UEH228" s="12"/>
      <c r="UEI228" s="12"/>
      <c r="UEJ228" s="12"/>
      <c r="UEK228" s="12"/>
      <c r="UEL228" s="12"/>
      <c r="UEM228" s="12"/>
      <c r="UEN228" s="12"/>
      <c r="UEO228" s="12"/>
      <c r="UEP228" s="12"/>
      <c r="UEQ228" s="12"/>
      <c r="UER228" s="12"/>
      <c r="UES228" s="12"/>
      <c r="UET228" s="12"/>
      <c r="UEU228" s="12"/>
      <c r="UEV228" s="12"/>
      <c r="UEW228" s="12"/>
      <c r="UEX228" s="12"/>
      <c r="UEY228" s="12"/>
      <c r="UEZ228" s="12"/>
      <c r="UFA228" s="12"/>
      <c r="UFB228" s="12"/>
      <c r="UFC228" s="12"/>
      <c r="UFD228" s="12"/>
      <c r="UFE228" s="12"/>
      <c r="UFF228" s="12"/>
      <c r="UFG228" s="12"/>
      <c r="UFH228" s="12"/>
      <c r="UFI228" s="12"/>
      <c r="UFJ228" s="12"/>
      <c r="UFK228" s="12"/>
      <c r="UFL228" s="12"/>
      <c r="UFM228" s="12"/>
      <c r="UFN228" s="12"/>
      <c r="UFO228" s="12"/>
      <c r="UFP228" s="12"/>
      <c r="UFQ228" s="12"/>
      <c r="UFR228" s="12"/>
      <c r="UFS228" s="12"/>
      <c r="UFT228" s="12"/>
      <c r="UFU228" s="12"/>
      <c r="UFV228" s="12"/>
      <c r="UFW228" s="12"/>
      <c r="UFX228" s="12"/>
      <c r="UFY228" s="12"/>
      <c r="UFZ228" s="12"/>
      <c r="UGA228" s="12"/>
      <c r="UGB228" s="12"/>
      <c r="UGC228" s="12"/>
      <c r="UGD228" s="12"/>
      <c r="UGE228" s="12"/>
      <c r="UGF228" s="12"/>
      <c r="UGG228" s="12"/>
      <c r="UGH228" s="12"/>
      <c r="UGI228" s="12"/>
      <c r="UGJ228" s="12"/>
      <c r="UGK228" s="12"/>
      <c r="UGL228" s="12"/>
      <c r="UGM228" s="12"/>
      <c r="UGN228" s="12"/>
      <c r="UGO228" s="12"/>
      <c r="UGP228" s="12"/>
      <c r="UGQ228" s="12"/>
      <c r="UGR228" s="12"/>
      <c r="UGS228" s="12"/>
      <c r="UGT228" s="12"/>
      <c r="UGU228" s="12"/>
      <c r="UGV228" s="12"/>
      <c r="UGW228" s="12"/>
      <c r="UGX228" s="12"/>
      <c r="UGY228" s="12"/>
      <c r="UGZ228" s="12"/>
      <c r="UHA228" s="12"/>
      <c r="UHB228" s="12"/>
      <c r="UHC228" s="12"/>
      <c r="UHD228" s="12"/>
      <c r="UHE228" s="12"/>
      <c r="UHF228" s="12"/>
      <c r="UHG228" s="12"/>
      <c r="UHH228" s="12"/>
      <c r="UHI228" s="12"/>
      <c r="UHJ228" s="12"/>
      <c r="UHK228" s="12"/>
      <c r="UHL228" s="12"/>
      <c r="UHM228" s="12"/>
      <c r="UHN228" s="12"/>
      <c r="UHO228" s="12"/>
      <c r="UHP228" s="12"/>
      <c r="UHQ228" s="12"/>
      <c r="UHR228" s="12"/>
      <c r="UHS228" s="12"/>
      <c r="UHT228" s="12"/>
      <c r="UHU228" s="12"/>
      <c r="UHV228" s="12"/>
      <c r="UHW228" s="12"/>
      <c r="UHX228" s="12"/>
      <c r="UHY228" s="12"/>
      <c r="UHZ228" s="12"/>
      <c r="UIA228" s="12"/>
      <c r="UIB228" s="12"/>
      <c r="UIC228" s="12"/>
      <c r="UID228" s="12"/>
      <c r="UIE228" s="12"/>
      <c r="UIF228" s="12"/>
      <c r="UIG228" s="12"/>
      <c r="UIH228" s="12"/>
      <c r="UII228" s="12"/>
      <c r="UIJ228" s="12"/>
      <c r="UIK228" s="12"/>
      <c r="UIL228" s="12"/>
      <c r="UIM228" s="12"/>
      <c r="UIN228" s="12"/>
      <c r="UIO228" s="12"/>
      <c r="UIP228" s="12"/>
      <c r="UIQ228" s="12"/>
      <c r="UIR228" s="12"/>
      <c r="UIS228" s="12"/>
      <c r="UIT228" s="12"/>
      <c r="UIU228" s="12"/>
      <c r="UIV228" s="12"/>
      <c r="UIW228" s="12"/>
      <c r="UIX228" s="12"/>
      <c r="UIY228" s="12"/>
      <c r="UIZ228" s="12"/>
      <c r="UJA228" s="12"/>
      <c r="UJB228" s="12"/>
      <c r="UJC228" s="12"/>
      <c r="UJD228" s="12"/>
      <c r="UJE228" s="12"/>
      <c r="UJF228" s="12"/>
      <c r="UJG228" s="12"/>
      <c r="UJH228" s="12"/>
      <c r="UJI228" s="12"/>
      <c r="UJJ228" s="12"/>
      <c r="UJK228" s="12"/>
      <c r="UJL228" s="12"/>
      <c r="UJM228" s="12"/>
      <c r="UJN228" s="12"/>
      <c r="UJO228" s="12"/>
      <c r="UJP228" s="12"/>
      <c r="UJQ228" s="12"/>
      <c r="UJR228" s="12"/>
      <c r="UJS228" s="12"/>
      <c r="UJT228" s="12"/>
      <c r="UJU228" s="12"/>
      <c r="UJV228" s="12"/>
      <c r="UJW228" s="12"/>
      <c r="UJX228" s="12"/>
      <c r="UJY228" s="12"/>
      <c r="UJZ228" s="12"/>
      <c r="UKA228" s="12"/>
      <c r="UKB228" s="12"/>
      <c r="UKC228" s="12"/>
      <c r="UKD228" s="12"/>
      <c r="UKE228" s="12"/>
      <c r="UKF228" s="12"/>
      <c r="UKG228" s="12"/>
      <c r="UKH228" s="12"/>
      <c r="UKI228" s="12"/>
      <c r="UKJ228" s="12"/>
      <c r="UKK228" s="12"/>
      <c r="UKL228" s="12"/>
      <c r="UKM228" s="12"/>
      <c r="UKN228" s="12"/>
      <c r="UKO228" s="12"/>
      <c r="UKP228" s="12"/>
      <c r="UKQ228" s="12"/>
      <c r="UKR228" s="12"/>
      <c r="UKS228" s="12"/>
      <c r="UKT228" s="12"/>
      <c r="UKU228" s="12"/>
      <c r="UKV228" s="12"/>
      <c r="UKW228" s="12"/>
      <c r="UKX228" s="12"/>
      <c r="UKY228" s="12"/>
      <c r="UKZ228" s="12"/>
      <c r="ULA228" s="12"/>
      <c r="ULB228" s="12"/>
      <c r="ULC228" s="12"/>
      <c r="ULD228" s="12"/>
      <c r="ULE228" s="12"/>
      <c r="ULF228" s="12"/>
      <c r="ULG228" s="12"/>
      <c r="ULH228" s="12"/>
      <c r="ULI228" s="12"/>
      <c r="ULJ228" s="12"/>
      <c r="ULK228" s="12"/>
      <c r="ULL228" s="12"/>
      <c r="ULM228" s="12"/>
      <c r="ULN228" s="12"/>
      <c r="ULO228" s="12"/>
      <c r="ULP228" s="12"/>
      <c r="ULQ228" s="12"/>
      <c r="ULR228" s="12"/>
      <c r="ULS228" s="12"/>
      <c r="ULT228" s="12"/>
      <c r="ULU228" s="12"/>
      <c r="ULV228" s="12"/>
      <c r="ULW228" s="12"/>
      <c r="ULX228" s="12"/>
      <c r="ULY228" s="12"/>
      <c r="ULZ228" s="12"/>
      <c r="UMA228" s="12"/>
      <c r="UMB228" s="12"/>
      <c r="UMC228" s="12"/>
      <c r="UMD228" s="12"/>
      <c r="UME228" s="12"/>
      <c r="UMF228" s="12"/>
      <c r="UMG228" s="12"/>
      <c r="UMH228" s="12"/>
      <c r="UMI228" s="12"/>
      <c r="UMJ228" s="12"/>
      <c r="UMK228" s="12"/>
      <c r="UML228" s="12"/>
      <c r="UMM228" s="12"/>
      <c r="UMN228" s="12"/>
      <c r="UMO228" s="12"/>
      <c r="UMP228" s="12"/>
      <c r="UMQ228" s="12"/>
      <c r="UMR228" s="12"/>
      <c r="UMS228" s="12"/>
      <c r="UMT228" s="12"/>
      <c r="UMU228" s="12"/>
      <c r="UMV228" s="12"/>
      <c r="UMW228" s="12"/>
      <c r="UMX228" s="12"/>
      <c r="UMY228" s="12"/>
      <c r="UMZ228" s="12"/>
      <c r="UNA228" s="12"/>
      <c r="UNB228" s="12"/>
      <c r="UNC228" s="12"/>
      <c r="UND228" s="12"/>
      <c r="UNE228" s="12"/>
      <c r="UNF228" s="12"/>
      <c r="UNG228" s="12"/>
      <c r="UNH228" s="12"/>
      <c r="UNI228" s="12"/>
      <c r="UNJ228" s="12"/>
      <c r="UNK228" s="12"/>
      <c r="UNL228" s="12"/>
      <c r="UNM228" s="12"/>
      <c r="UNN228" s="12"/>
      <c r="UNO228" s="12"/>
      <c r="UNP228" s="12"/>
      <c r="UNQ228" s="12"/>
      <c r="UNR228" s="12"/>
      <c r="UNS228" s="12"/>
      <c r="UNT228" s="12"/>
      <c r="UNU228" s="12"/>
      <c r="UNV228" s="12"/>
      <c r="UNW228" s="12"/>
      <c r="UNX228" s="12"/>
      <c r="UNY228" s="12"/>
      <c r="UNZ228" s="12"/>
      <c r="UOA228" s="12"/>
      <c r="UOB228" s="12"/>
      <c r="UOC228" s="12"/>
      <c r="UOD228" s="12"/>
      <c r="UOE228" s="12"/>
      <c r="UOF228" s="12"/>
      <c r="UOG228" s="12"/>
      <c r="UOH228" s="12"/>
      <c r="UOI228" s="12"/>
      <c r="UOJ228" s="12"/>
      <c r="UOK228" s="12"/>
      <c r="UOL228" s="12"/>
      <c r="UOM228" s="12"/>
      <c r="UON228" s="12"/>
      <c r="UOO228" s="12"/>
      <c r="UOP228" s="12"/>
      <c r="UOQ228" s="12"/>
      <c r="UOR228" s="12"/>
      <c r="UOS228" s="12"/>
      <c r="UOT228" s="12"/>
      <c r="UOU228" s="12"/>
      <c r="UOV228" s="12"/>
      <c r="UOW228" s="12"/>
      <c r="UOX228" s="12"/>
      <c r="UOY228" s="12"/>
      <c r="UOZ228" s="12"/>
      <c r="UPA228" s="12"/>
      <c r="UPB228" s="12"/>
      <c r="UPC228" s="12"/>
      <c r="UPD228" s="12"/>
      <c r="UPE228" s="12"/>
      <c r="UPF228" s="12"/>
      <c r="UPG228" s="12"/>
      <c r="UPH228" s="12"/>
      <c r="UPI228" s="12"/>
      <c r="UPJ228" s="12"/>
      <c r="UPK228" s="12"/>
      <c r="UPL228" s="12"/>
      <c r="UPM228" s="12"/>
      <c r="UPN228" s="12"/>
      <c r="UPO228" s="12"/>
      <c r="UPP228" s="12"/>
      <c r="UPQ228" s="12"/>
      <c r="UPR228" s="12"/>
      <c r="UPS228" s="12"/>
      <c r="UPT228" s="12"/>
      <c r="UPU228" s="12"/>
      <c r="UPV228" s="12"/>
      <c r="UPW228" s="12"/>
      <c r="UPX228" s="12"/>
      <c r="UPY228" s="12"/>
      <c r="UPZ228" s="12"/>
      <c r="UQA228" s="12"/>
      <c r="UQB228" s="12"/>
      <c r="UQC228" s="12"/>
      <c r="UQD228" s="12"/>
      <c r="UQE228" s="12"/>
      <c r="UQF228" s="12"/>
      <c r="UQG228" s="12"/>
      <c r="UQH228" s="12"/>
      <c r="UQI228" s="12"/>
      <c r="UQJ228" s="12"/>
      <c r="UQK228" s="12"/>
      <c r="UQL228" s="12"/>
      <c r="UQM228" s="12"/>
      <c r="UQN228" s="12"/>
      <c r="UQO228" s="12"/>
      <c r="UQP228" s="12"/>
      <c r="UQQ228" s="12"/>
      <c r="UQR228" s="12"/>
      <c r="UQS228" s="12"/>
      <c r="UQT228" s="12"/>
      <c r="UQU228" s="12"/>
      <c r="UQV228" s="12"/>
      <c r="UQW228" s="12"/>
      <c r="UQX228" s="12"/>
      <c r="UQY228" s="12"/>
      <c r="UQZ228" s="12"/>
      <c r="URA228" s="12"/>
      <c r="URB228" s="12"/>
      <c r="URC228" s="12"/>
      <c r="URD228" s="12"/>
      <c r="URE228" s="12"/>
      <c r="URF228" s="12"/>
      <c r="URG228" s="12"/>
      <c r="URH228" s="12"/>
      <c r="URI228" s="12"/>
      <c r="URJ228" s="12"/>
      <c r="URK228" s="12"/>
      <c r="URL228" s="12"/>
      <c r="URM228" s="12"/>
      <c r="URN228" s="12"/>
      <c r="URO228" s="12"/>
      <c r="URP228" s="12"/>
      <c r="URQ228" s="12"/>
      <c r="URR228" s="12"/>
      <c r="URS228" s="12"/>
      <c r="URT228" s="12"/>
      <c r="URU228" s="12"/>
      <c r="URV228" s="12"/>
      <c r="URW228" s="12"/>
      <c r="URX228" s="12"/>
      <c r="URY228" s="12"/>
      <c r="URZ228" s="12"/>
      <c r="USA228" s="12"/>
      <c r="USB228" s="12"/>
      <c r="USC228" s="12"/>
      <c r="USD228" s="12"/>
      <c r="USE228" s="12"/>
      <c r="USF228" s="12"/>
      <c r="USG228" s="12"/>
      <c r="USH228" s="12"/>
      <c r="USI228" s="12"/>
      <c r="USJ228" s="12"/>
      <c r="USK228" s="12"/>
      <c r="USL228" s="12"/>
      <c r="USM228" s="12"/>
      <c r="USN228" s="12"/>
      <c r="USO228" s="12"/>
      <c r="USP228" s="12"/>
      <c r="USQ228" s="12"/>
      <c r="USR228" s="12"/>
      <c r="USS228" s="12"/>
      <c r="UST228" s="12"/>
      <c r="USU228" s="12"/>
      <c r="USV228" s="12"/>
      <c r="USW228" s="12"/>
      <c r="USX228" s="12"/>
      <c r="USY228" s="12"/>
      <c r="USZ228" s="12"/>
      <c r="UTA228" s="12"/>
      <c r="UTB228" s="12"/>
      <c r="UTC228" s="12"/>
      <c r="UTD228" s="12"/>
      <c r="UTE228" s="12"/>
      <c r="UTF228" s="12"/>
      <c r="UTG228" s="12"/>
      <c r="UTH228" s="12"/>
      <c r="UTI228" s="12"/>
      <c r="UTJ228" s="12"/>
      <c r="UTK228" s="12"/>
      <c r="UTL228" s="12"/>
      <c r="UTM228" s="12"/>
      <c r="UTN228" s="12"/>
      <c r="UTO228" s="12"/>
      <c r="UTP228" s="12"/>
      <c r="UTQ228" s="12"/>
      <c r="UTR228" s="12"/>
      <c r="UTS228" s="12"/>
      <c r="UTT228" s="12"/>
      <c r="UTU228" s="12"/>
      <c r="UTV228" s="12"/>
      <c r="UTW228" s="12"/>
      <c r="UTX228" s="12"/>
      <c r="UTY228" s="12"/>
      <c r="UTZ228" s="12"/>
      <c r="UUA228" s="12"/>
      <c r="UUB228" s="12"/>
      <c r="UUC228" s="12"/>
      <c r="UUD228" s="12"/>
      <c r="UUE228" s="12"/>
      <c r="UUF228" s="12"/>
      <c r="UUG228" s="12"/>
      <c r="UUH228" s="12"/>
      <c r="UUI228" s="12"/>
      <c r="UUJ228" s="12"/>
      <c r="UUK228" s="12"/>
      <c r="UUL228" s="12"/>
      <c r="UUM228" s="12"/>
      <c r="UUN228" s="12"/>
      <c r="UUO228" s="12"/>
      <c r="UUP228" s="12"/>
      <c r="UUQ228" s="12"/>
      <c r="UUR228" s="12"/>
      <c r="UUS228" s="12"/>
      <c r="UUT228" s="12"/>
      <c r="UUU228" s="12"/>
      <c r="UUV228" s="12"/>
      <c r="UUW228" s="12"/>
      <c r="UUX228" s="12"/>
      <c r="UUY228" s="12"/>
      <c r="UUZ228" s="12"/>
      <c r="UVA228" s="12"/>
      <c r="UVB228" s="12"/>
      <c r="UVC228" s="12"/>
      <c r="UVD228" s="12"/>
      <c r="UVE228" s="12"/>
      <c r="UVF228" s="12"/>
      <c r="UVG228" s="12"/>
      <c r="UVH228" s="12"/>
      <c r="UVI228" s="12"/>
      <c r="UVJ228" s="12"/>
      <c r="UVK228" s="12"/>
      <c r="UVL228" s="12"/>
      <c r="UVM228" s="12"/>
      <c r="UVN228" s="12"/>
      <c r="UVO228" s="12"/>
      <c r="UVP228" s="12"/>
      <c r="UVQ228" s="12"/>
      <c r="UVR228" s="12"/>
      <c r="UVS228" s="12"/>
      <c r="UVT228" s="12"/>
      <c r="UVU228" s="12"/>
      <c r="UVV228" s="12"/>
      <c r="UVW228" s="12"/>
      <c r="UVX228" s="12"/>
      <c r="UVY228" s="12"/>
      <c r="UVZ228" s="12"/>
      <c r="UWA228" s="12"/>
      <c r="UWB228" s="12"/>
      <c r="UWC228" s="12"/>
      <c r="UWD228" s="12"/>
      <c r="UWE228" s="12"/>
      <c r="UWF228" s="12"/>
      <c r="UWG228" s="12"/>
      <c r="UWH228" s="12"/>
      <c r="UWI228" s="12"/>
      <c r="UWJ228" s="12"/>
      <c r="UWK228" s="12"/>
      <c r="UWL228" s="12"/>
      <c r="UWM228" s="12"/>
      <c r="UWN228" s="12"/>
      <c r="UWO228" s="12"/>
      <c r="UWP228" s="12"/>
      <c r="UWQ228" s="12"/>
      <c r="UWR228" s="12"/>
      <c r="UWS228" s="12"/>
      <c r="UWT228" s="12"/>
      <c r="UWU228" s="12"/>
      <c r="UWV228" s="12"/>
      <c r="UWW228" s="12"/>
      <c r="UWX228" s="12"/>
      <c r="UWY228" s="12"/>
      <c r="UWZ228" s="12"/>
      <c r="UXA228" s="12"/>
      <c r="UXB228" s="12"/>
      <c r="UXC228" s="12"/>
      <c r="UXD228" s="12"/>
      <c r="UXE228" s="12"/>
      <c r="UXF228" s="12"/>
      <c r="UXG228" s="12"/>
      <c r="UXH228" s="12"/>
      <c r="UXI228" s="12"/>
      <c r="UXJ228" s="12"/>
      <c r="UXK228" s="12"/>
      <c r="UXL228" s="12"/>
      <c r="UXM228" s="12"/>
      <c r="UXN228" s="12"/>
      <c r="UXO228" s="12"/>
      <c r="UXP228" s="12"/>
      <c r="UXQ228" s="12"/>
      <c r="UXR228" s="12"/>
      <c r="UXS228" s="12"/>
      <c r="UXT228" s="12"/>
      <c r="UXU228" s="12"/>
      <c r="UXV228" s="12"/>
      <c r="UXW228" s="12"/>
      <c r="UXX228" s="12"/>
      <c r="UXY228" s="12"/>
      <c r="UXZ228" s="12"/>
      <c r="UYA228" s="12"/>
      <c r="UYB228" s="12"/>
      <c r="UYC228" s="12"/>
      <c r="UYD228" s="12"/>
      <c r="UYE228" s="12"/>
      <c r="UYF228" s="12"/>
      <c r="UYG228" s="12"/>
      <c r="UYH228" s="12"/>
      <c r="UYI228" s="12"/>
      <c r="UYJ228" s="12"/>
      <c r="UYK228" s="12"/>
      <c r="UYL228" s="12"/>
      <c r="UYM228" s="12"/>
      <c r="UYN228" s="12"/>
      <c r="UYO228" s="12"/>
      <c r="UYP228" s="12"/>
      <c r="UYQ228" s="12"/>
      <c r="UYR228" s="12"/>
      <c r="UYS228" s="12"/>
      <c r="UYT228" s="12"/>
      <c r="UYU228" s="12"/>
      <c r="UYV228" s="12"/>
      <c r="UYW228" s="12"/>
      <c r="UYX228" s="12"/>
      <c r="UYY228" s="12"/>
      <c r="UYZ228" s="12"/>
      <c r="UZA228" s="12"/>
      <c r="UZB228" s="12"/>
      <c r="UZC228" s="12"/>
      <c r="UZD228" s="12"/>
      <c r="UZE228" s="12"/>
      <c r="UZF228" s="12"/>
      <c r="UZG228" s="12"/>
      <c r="UZH228" s="12"/>
      <c r="UZI228" s="12"/>
      <c r="UZJ228" s="12"/>
      <c r="UZK228" s="12"/>
      <c r="UZL228" s="12"/>
      <c r="UZM228" s="12"/>
      <c r="UZN228" s="12"/>
      <c r="UZO228" s="12"/>
      <c r="UZP228" s="12"/>
      <c r="UZQ228" s="12"/>
      <c r="UZR228" s="12"/>
      <c r="UZS228" s="12"/>
      <c r="UZT228" s="12"/>
      <c r="UZU228" s="12"/>
      <c r="UZV228" s="12"/>
      <c r="UZW228" s="12"/>
      <c r="UZX228" s="12"/>
      <c r="UZY228" s="12"/>
      <c r="UZZ228" s="12"/>
      <c r="VAA228" s="12"/>
      <c r="VAB228" s="12"/>
      <c r="VAC228" s="12"/>
      <c r="VAD228" s="12"/>
      <c r="VAE228" s="12"/>
      <c r="VAF228" s="12"/>
      <c r="VAG228" s="12"/>
      <c r="VAH228" s="12"/>
      <c r="VAI228" s="12"/>
      <c r="VAJ228" s="12"/>
      <c r="VAK228" s="12"/>
      <c r="VAL228" s="12"/>
      <c r="VAM228" s="12"/>
      <c r="VAN228" s="12"/>
      <c r="VAO228" s="12"/>
      <c r="VAP228" s="12"/>
      <c r="VAQ228" s="12"/>
      <c r="VAR228" s="12"/>
      <c r="VAS228" s="12"/>
      <c r="VAT228" s="12"/>
      <c r="VAU228" s="12"/>
      <c r="VAV228" s="12"/>
      <c r="VAW228" s="12"/>
      <c r="VAX228" s="12"/>
      <c r="VAY228" s="12"/>
      <c r="VAZ228" s="12"/>
      <c r="VBA228" s="12"/>
      <c r="VBB228" s="12"/>
      <c r="VBC228" s="12"/>
      <c r="VBD228" s="12"/>
      <c r="VBE228" s="12"/>
      <c r="VBF228" s="12"/>
      <c r="VBG228" s="12"/>
      <c r="VBH228" s="12"/>
      <c r="VBI228" s="12"/>
      <c r="VBJ228" s="12"/>
      <c r="VBK228" s="12"/>
      <c r="VBL228" s="12"/>
      <c r="VBM228" s="12"/>
      <c r="VBN228" s="12"/>
      <c r="VBO228" s="12"/>
      <c r="VBP228" s="12"/>
      <c r="VBQ228" s="12"/>
      <c r="VBR228" s="12"/>
      <c r="VBS228" s="12"/>
      <c r="VBT228" s="12"/>
      <c r="VBU228" s="12"/>
      <c r="VBV228" s="12"/>
      <c r="VBW228" s="12"/>
      <c r="VBX228" s="12"/>
      <c r="VBY228" s="12"/>
      <c r="VBZ228" s="12"/>
      <c r="VCA228" s="12"/>
      <c r="VCB228" s="12"/>
      <c r="VCC228" s="12"/>
      <c r="VCD228" s="12"/>
      <c r="VCE228" s="12"/>
      <c r="VCF228" s="12"/>
      <c r="VCG228" s="12"/>
      <c r="VCH228" s="12"/>
      <c r="VCI228" s="12"/>
      <c r="VCJ228" s="12"/>
      <c r="VCK228" s="12"/>
      <c r="VCL228" s="12"/>
      <c r="VCM228" s="12"/>
      <c r="VCN228" s="12"/>
      <c r="VCO228" s="12"/>
      <c r="VCP228" s="12"/>
      <c r="VCQ228" s="12"/>
      <c r="VCR228" s="12"/>
      <c r="VCS228" s="12"/>
      <c r="VCT228" s="12"/>
      <c r="VCU228" s="12"/>
      <c r="VCV228" s="12"/>
      <c r="VCW228" s="12"/>
      <c r="VCX228" s="12"/>
      <c r="VCY228" s="12"/>
      <c r="VCZ228" s="12"/>
      <c r="VDA228" s="12"/>
      <c r="VDB228" s="12"/>
      <c r="VDC228" s="12"/>
      <c r="VDD228" s="12"/>
      <c r="VDE228" s="12"/>
      <c r="VDF228" s="12"/>
      <c r="VDG228" s="12"/>
      <c r="VDH228" s="12"/>
      <c r="VDI228" s="12"/>
      <c r="VDJ228" s="12"/>
      <c r="VDK228" s="12"/>
      <c r="VDL228" s="12"/>
      <c r="VDM228" s="12"/>
      <c r="VDN228" s="12"/>
      <c r="VDO228" s="12"/>
      <c r="VDP228" s="12"/>
      <c r="VDQ228" s="12"/>
      <c r="VDR228" s="12"/>
      <c r="VDS228" s="12"/>
      <c r="VDT228" s="12"/>
      <c r="VDU228" s="12"/>
      <c r="VDV228" s="12"/>
      <c r="VDW228" s="12"/>
      <c r="VDX228" s="12"/>
      <c r="VDY228" s="12"/>
      <c r="VDZ228" s="12"/>
      <c r="VEA228" s="12"/>
      <c r="VEB228" s="12"/>
      <c r="VEC228" s="12"/>
      <c r="VED228" s="12"/>
      <c r="VEE228" s="12"/>
      <c r="VEF228" s="12"/>
      <c r="VEG228" s="12"/>
      <c r="VEH228" s="12"/>
      <c r="VEI228" s="12"/>
      <c r="VEJ228" s="12"/>
      <c r="VEK228" s="12"/>
      <c r="VEL228" s="12"/>
      <c r="VEM228" s="12"/>
      <c r="VEN228" s="12"/>
      <c r="VEO228" s="12"/>
      <c r="VEP228" s="12"/>
      <c r="VEQ228" s="12"/>
      <c r="VER228" s="12"/>
      <c r="VES228" s="12"/>
      <c r="VET228" s="12"/>
      <c r="VEU228" s="12"/>
      <c r="VEV228" s="12"/>
      <c r="VEW228" s="12"/>
      <c r="VEX228" s="12"/>
      <c r="VEY228" s="12"/>
      <c r="VEZ228" s="12"/>
      <c r="VFA228" s="12"/>
      <c r="VFB228" s="12"/>
      <c r="VFC228" s="12"/>
      <c r="VFD228" s="12"/>
      <c r="VFE228" s="12"/>
      <c r="VFF228" s="12"/>
      <c r="VFG228" s="12"/>
      <c r="VFH228" s="12"/>
      <c r="VFI228" s="12"/>
      <c r="VFJ228" s="12"/>
      <c r="VFK228" s="12"/>
      <c r="VFL228" s="12"/>
      <c r="VFM228" s="12"/>
      <c r="VFN228" s="12"/>
      <c r="VFO228" s="12"/>
      <c r="VFP228" s="12"/>
      <c r="VFQ228" s="12"/>
      <c r="VFR228" s="12"/>
      <c r="VFS228" s="12"/>
      <c r="VFT228" s="12"/>
      <c r="VFU228" s="12"/>
      <c r="VFV228" s="12"/>
      <c r="VFW228" s="12"/>
      <c r="VFX228" s="12"/>
      <c r="VFY228" s="12"/>
      <c r="VFZ228" s="12"/>
      <c r="VGA228" s="12"/>
      <c r="VGB228" s="12"/>
      <c r="VGC228" s="12"/>
      <c r="VGD228" s="12"/>
      <c r="VGE228" s="12"/>
      <c r="VGF228" s="12"/>
      <c r="VGG228" s="12"/>
      <c r="VGH228" s="12"/>
      <c r="VGI228" s="12"/>
      <c r="VGJ228" s="12"/>
      <c r="VGK228" s="12"/>
      <c r="VGL228" s="12"/>
      <c r="VGM228" s="12"/>
      <c r="VGN228" s="12"/>
      <c r="VGO228" s="12"/>
      <c r="VGP228" s="12"/>
      <c r="VGQ228" s="12"/>
      <c r="VGR228" s="12"/>
      <c r="VGS228" s="12"/>
      <c r="VGT228" s="12"/>
      <c r="VGU228" s="12"/>
      <c r="VGV228" s="12"/>
      <c r="VGW228" s="12"/>
      <c r="VGX228" s="12"/>
      <c r="VGY228" s="12"/>
      <c r="VGZ228" s="12"/>
      <c r="VHA228" s="12"/>
      <c r="VHB228" s="12"/>
      <c r="VHC228" s="12"/>
      <c r="VHD228" s="12"/>
      <c r="VHE228" s="12"/>
      <c r="VHF228" s="12"/>
      <c r="VHG228" s="12"/>
      <c r="VHH228" s="12"/>
      <c r="VHI228" s="12"/>
      <c r="VHJ228" s="12"/>
      <c r="VHK228" s="12"/>
      <c r="VHL228" s="12"/>
      <c r="VHM228" s="12"/>
      <c r="VHN228" s="12"/>
      <c r="VHO228" s="12"/>
      <c r="VHP228" s="12"/>
      <c r="VHQ228" s="12"/>
      <c r="VHR228" s="12"/>
      <c r="VHS228" s="12"/>
      <c r="VHT228" s="12"/>
      <c r="VHU228" s="12"/>
      <c r="VHV228" s="12"/>
      <c r="VHW228" s="12"/>
      <c r="VHX228" s="12"/>
      <c r="VHY228" s="12"/>
      <c r="VHZ228" s="12"/>
      <c r="VIA228" s="12"/>
      <c r="VIB228" s="12"/>
      <c r="VIC228" s="12"/>
      <c r="VID228" s="12"/>
      <c r="VIE228" s="12"/>
      <c r="VIF228" s="12"/>
      <c r="VIG228" s="12"/>
      <c r="VIH228" s="12"/>
      <c r="VII228" s="12"/>
      <c r="VIJ228" s="12"/>
      <c r="VIK228" s="12"/>
      <c r="VIL228" s="12"/>
      <c r="VIM228" s="12"/>
      <c r="VIN228" s="12"/>
      <c r="VIO228" s="12"/>
      <c r="VIP228" s="12"/>
      <c r="VIQ228" s="12"/>
      <c r="VIR228" s="12"/>
      <c r="VIS228" s="12"/>
      <c r="VIT228" s="12"/>
      <c r="VIU228" s="12"/>
      <c r="VIV228" s="12"/>
      <c r="VIW228" s="12"/>
      <c r="VIX228" s="12"/>
      <c r="VIY228" s="12"/>
      <c r="VIZ228" s="12"/>
      <c r="VJA228" s="12"/>
      <c r="VJB228" s="12"/>
      <c r="VJC228" s="12"/>
      <c r="VJD228" s="12"/>
      <c r="VJE228" s="12"/>
      <c r="VJF228" s="12"/>
      <c r="VJG228" s="12"/>
      <c r="VJH228" s="12"/>
      <c r="VJI228" s="12"/>
      <c r="VJJ228" s="12"/>
      <c r="VJK228" s="12"/>
      <c r="VJL228" s="12"/>
      <c r="VJM228" s="12"/>
      <c r="VJN228" s="12"/>
      <c r="VJO228" s="12"/>
      <c r="VJP228" s="12"/>
      <c r="VJQ228" s="12"/>
      <c r="VJR228" s="12"/>
      <c r="VJS228" s="12"/>
      <c r="VJT228" s="12"/>
      <c r="VJU228" s="12"/>
      <c r="VJV228" s="12"/>
      <c r="VJW228" s="12"/>
      <c r="VJX228" s="12"/>
      <c r="VJY228" s="12"/>
      <c r="VJZ228" s="12"/>
      <c r="VKA228" s="12"/>
      <c r="VKB228" s="12"/>
      <c r="VKC228" s="12"/>
      <c r="VKD228" s="12"/>
      <c r="VKE228" s="12"/>
      <c r="VKF228" s="12"/>
      <c r="VKG228" s="12"/>
      <c r="VKH228" s="12"/>
      <c r="VKI228" s="12"/>
      <c r="VKJ228" s="12"/>
      <c r="VKK228" s="12"/>
      <c r="VKL228" s="12"/>
      <c r="VKM228" s="12"/>
      <c r="VKN228" s="12"/>
      <c r="VKO228" s="12"/>
      <c r="VKP228" s="12"/>
      <c r="VKQ228" s="12"/>
      <c r="VKR228" s="12"/>
      <c r="VKS228" s="12"/>
      <c r="VKT228" s="12"/>
      <c r="VKU228" s="12"/>
      <c r="VKV228" s="12"/>
      <c r="VKW228" s="12"/>
      <c r="VKX228" s="12"/>
      <c r="VKY228" s="12"/>
      <c r="VKZ228" s="12"/>
      <c r="VLA228" s="12"/>
      <c r="VLB228" s="12"/>
      <c r="VLC228" s="12"/>
      <c r="VLD228" s="12"/>
      <c r="VLE228" s="12"/>
      <c r="VLF228" s="12"/>
      <c r="VLG228" s="12"/>
      <c r="VLH228" s="12"/>
      <c r="VLI228" s="12"/>
      <c r="VLJ228" s="12"/>
      <c r="VLK228" s="12"/>
      <c r="VLL228" s="12"/>
      <c r="VLM228" s="12"/>
      <c r="VLN228" s="12"/>
      <c r="VLO228" s="12"/>
      <c r="VLP228" s="12"/>
      <c r="VLQ228" s="12"/>
      <c r="VLR228" s="12"/>
      <c r="VLS228" s="12"/>
      <c r="VLT228" s="12"/>
      <c r="VLU228" s="12"/>
      <c r="VLV228" s="12"/>
      <c r="VLW228" s="12"/>
      <c r="VLX228" s="12"/>
      <c r="VLY228" s="12"/>
      <c r="VLZ228" s="12"/>
      <c r="VMA228" s="12"/>
      <c r="VMB228" s="12"/>
      <c r="VMC228" s="12"/>
      <c r="VMD228" s="12"/>
      <c r="VME228" s="12"/>
      <c r="VMF228" s="12"/>
      <c r="VMG228" s="12"/>
      <c r="VMH228" s="12"/>
      <c r="VMI228" s="12"/>
      <c r="VMJ228" s="12"/>
      <c r="VMK228" s="12"/>
      <c r="VML228" s="12"/>
      <c r="VMM228" s="12"/>
      <c r="VMN228" s="12"/>
      <c r="VMO228" s="12"/>
      <c r="VMP228" s="12"/>
      <c r="VMQ228" s="12"/>
      <c r="VMR228" s="12"/>
      <c r="VMS228" s="12"/>
      <c r="VMT228" s="12"/>
      <c r="VMU228" s="12"/>
      <c r="VMV228" s="12"/>
      <c r="VMW228" s="12"/>
      <c r="VMX228" s="12"/>
      <c r="VMY228" s="12"/>
      <c r="VMZ228" s="12"/>
      <c r="VNA228" s="12"/>
      <c r="VNB228" s="12"/>
      <c r="VNC228" s="12"/>
      <c r="VND228" s="12"/>
      <c r="VNE228" s="12"/>
      <c r="VNF228" s="12"/>
      <c r="VNG228" s="12"/>
      <c r="VNH228" s="12"/>
      <c r="VNI228" s="12"/>
      <c r="VNJ228" s="12"/>
      <c r="VNK228" s="12"/>
      <c r="VNL228" s="12"/>
      <c r="VNM228" s="12"/>
      <c r="VNN228" s="12"/>
      <c r="VNO228" s="12"/>
      <c r="VNP228" s="12"/>
      <c r="VNQ228" s="12"/>
      <c r="VNR228" s="12"/>
      <c r="VNS228" s="12"/>
      <c r="VNT228" s="12"/>
      <c r="VNU228" s="12"/>
      <c r="VNV228" s="12"/>
      <c r="VNW228" s="12"/>
      <c r="VNX228" s="12"/>
      <c r="VNY228" s="12"/>
      <c r="VNZ228" s="12"/>
      <c r="VOA228" s="12"/>
      <c r="VOB228" s="12"/>
      <c r="VOC228" s="12"/>
      <c r="VOD228" s="12"/>
      <c r="VOE228" s="12"/>
      <c r="VOF228" s="12"/>
      <c r="VOG228" s="12"/>
      <c r="VOH228" s="12"/>
      <c r="VOI228" s="12"/>
      <c r="VOJ228" s="12"/>
      <c r="VOK228" s="12"/>
      <c r="VOL228" s="12"/>
      <c r="VOM228" s="12"/>
      <c r="VON228" s="12"/>
      <c r="VOO228" s="12"/>
      <c r="VOP228" s="12"/>
      <c r="VOQ228" s="12"/>
      <c r="VOR228" s="12"/>
      <c r="VOS228" s="12"/>
      <c r="VOT228" s="12"/>
      <c r="VOU228" s="12"/>
      <c r="VOV228" s="12"/>
      <c r="VOW228" s="12"/>
      <c r="VOX228" s="12"/>
      <c r="VOY228" s="12"/>
      <c r="VOZ228" s="12"/>
      <c r="VPA228" s="12"/>
      <c r="VPB228" s="12"/>
      <c r="VPC228" s="12"/>
      <c r="VPD228" s="12"/>
      <c r="VPE228" s="12"/>
      <c r="VPF228" s="12"/>
      <c r="VPG228" s="12"/>
      <c r="VPH228" s="12"/>
      <c r="VPI228" s="12"/>
      <c r="VPJ228" s="12"/>
      <c r="VPK228" s="12"/>
      <c r="VPL228" s="12"/>
      <c r="VPM228" s="12"/>
      <c r="VPN228" s="12"/>
      <c r="VPO228" s="12"/>
      <c r="VPP228" s="12"/>
      <c r="VPQ228" s="12"/>
      <c r="VPR228" s="12"/>
      <c r="VPS228" s="12"/>
      <c r="VPT228" s="12"/>
      <c r="VPU228" s="12"/>
      <c r="VPV228" s="12"/>
      <c r="VPW228" s="12"/>
      <c r="VPX228" s="12"/>
      <c r="VPY228" s="12"/>
      <c r="VPZ228" s="12"/>
      <c r="VQA228" s="12"/>
      <c r="VQB228" s="12"/>
      <c r="VQC228" s="12"/>
      <c r="VQD228" s="12"/>
      <c r="VQE228" s="12"/>
      <c r="VQF228" s="12"/>
      <c r="VQG228" s="12"/>
      <c r="VQH228" s="12"/>
      <c r="VQI228" s="12"/>
      <c r="VQJ228" s="12"/>
      <c r="VQK228" s="12"/>
      <c r="VQL228" s="12"/>
      <c r="VQM228" s="12"/>
      <c r="VQN228" s="12"/>
      <c r="VQO228" s="12"/>
      <c r="VQP228" s="12"/>
      <c r="VQQ228" s="12"/>
      <c r="VQR228" s="12"/>
      <c r="VQS228" s="12"/>
      <c r="VQT228" s="12"/>
      <c r="VQU228" s="12"/>
      <c r="VQV228" s="12"/>
      <c r="VQW228" s="12"/>
      <c r="VQX228" s="12"/>
      <c r="VQY228" s="12"/>
      <c r="VQZ228" s="12"/>
      <c r="VRA228" s="12"/>
      <c r="VRB228" s="12"/>
      <c r="VRC228" s="12"/>
      <c r="VRD228" s="12"/>
      <c r="VRE228" s="12"/>
      <c r="VRF228" s="12"/>
      <c r="VRG228" s="12"/>
      <c r="VRH228" s="12"/>
      <c r="VRI228" s="12"/>
      <c r="VRJ228" s="12"/>
      <c r="VRK228" s="12"/>
      <c r="VRL228" s="12"/>
      <c r="VRM228" s="12"/>
      <c r="VRN228" s="12"/>
      <c r="VRO228" s="12"/>
      <c r="VRP228" s="12"/>
      <c r="VRQ228" s="12"/>
      <c r="VRR228" s="12"/>
      <c r="VRS228" s="12"/>
      <c r="VRT228" s="12"/>
      <c r="VRU228" s="12"/>
      <c r="VRV228" s="12"/>
      <c r="VRW228" s="12"/>
      <c r="VRX228" s="12"/>
      <c r="VRY228" s="12"/>
      <c r="VRZ228" s="12"/>
      <c r="VSA228" s="12"/>
      <c r="VSB228" s="12"/>
      <c r="VSC228" s="12"/>
      <c r="VSD228" s="12"/>
      <c r="VSE228" s="12"/>
      <c r="VSF228" s="12"/>
      <c r="VSG228" s="12"/>
      <c r="VSH228" s="12"/>
      <c r="VSI228" s="12"/>
      <c r="VSJ228" s="12"/>
      <c r="VSK228" s="12"/>
      <c r="VSL228" s="12"/>
      <c r="VSM228" s="12"/>
      <c r="VSN228" s="12"/>
      <c r="VSO228" s="12"/>
      <c r="VSP228" s="12"/>
      <c r="VSQ228" s="12"/>
      <c r="VSR228" s="12"/>
      <c r="VSS228" s="12"/>
      <c r="VST228" s="12"/>
      <c r="VSU228" s="12"/>
      <c r="VSV228" s="12"/>
      <c r="VSW228" s="12"/>
      <c r="VSX228" s="12"/>
      <c r="VSY228" s="12"/>
      <c r="VSZ228" s="12"/>
      <c r="VTA228" s="12"/>
      <c r="VTB228" s="12"/>
      <c r="VTC228" s="12"/>
      <c r="VTD228" s="12"/>
      <c r="VTE228" s="12"/>
      <c r="VTF228" s="12"/>
      <c r="VTG228" s="12"/>
      <c r="VTH228" s="12"/>
      <c r="VTI228" s="12"/>
      <c r="VTJ228" s="12"/>
      <c r="VTK228" s="12"/>
      <c r="VTL228" s="12"/>
      <c r="VTM228" s="12"/>
      <c r="VTN228" s="12"/>
      <c r="VTO228" s="12"/>
      <c r="VTP228" s="12"/>
      <c r="VTQ228" s="12"/>
      <c r="VTR228" s="12"/>
      <c r="VTS228" s="12"/>
      <c r="VTT228" s="12"/>
      <c r="VTU228" s="12"/>
      <c r="VTV228" s="12"/>
      <c r="VTW228" s="12"/>
      <c r="VTX228" s="12"/>
      <c r="VTY228" s="12"/>
      <c r="VTZ228" s="12"/>
      <c r="VUA228" s="12"/>
      <c r="VUB228" s="12"/>
      <c r="VUC228" s="12"/>
      <c r="VUD228" s="12"/>
      <c r="VUE228" s="12"/>
      <c r="VUF228" s="12"/>
      <c r="VUG228" s="12"/>
      <c r="VUH228" s="12"/>
      <c r="VUI228" s="12"/>
      <c r="VUJ228" s="12"/>
      <c r="VUK228" s="12"/>
      <c r="VUL228" s="12"/>
      <c r="VUM228" s="12"/>
      <c r="VUN228" s="12"/>
      <c r="VUO228" s="12"/>
      <c r="VUP228" s="12"/>
      <c r="VUQ228" s="12"/>
      <c r="VUR228" s="12"/>
      <c r="VUS228" s="12"/>
      <c r="VUT228" s="12"/>
      <c r="VUU228" s="12"/>
      <c r="VUV228" s="12"/>
      <c r="VUW228" s="12"/>
      <c r="VUX228" s="12"/>
      <c r="VUY228" s="12"/>
      <c r="VUZ228" s="12"/>
      <c r="VVA228" s="12"/>
      <c r="VVB228" s="12"/>
      <c r="VVC228" s="12"/>
      <c r="VVD228" s="12"/>
      <c r="VVE228" s="12"/>
      <c r="VVF228" s="12"/>
      <c r="VVG228" s="12"/>
      <c r="VVH228" s="12"/>
      <c r="VVI228" s="12"/>
      <c r="VVJ228" s="12"/>
      <c r="VVK228" s="12"/>
      <c r="VVL228" s="12"/>
      <c r="VVM228" s="12"/>
      <c r="VVN228" s="12"/>
      <c r="VVO228" s="12"/>
      <c r="VVP228" s="12"/>
      <c r="VVQ228" s="12"/>
      <c r="VVR228" s="12"/>
      <c r="VVS228" s="12"/>
      <c r="VVT228" s="12"/>
      <c r="VVU228" s="12"/>
      <c r="VVV228" s="12"/>
      <c r="VVW228" s="12"/>
      <c r="VVX228" s="12"/>
      <c r="VVY228" s="12"/>
      <c r="VVZ228" s="12"/>
      <c r="VWA228" s="12"/>
      <c r="VWB228" s="12"/>
      <c r="VWC228" s="12"/>
      <c r="VWD228" s="12"/>
      <c r="VWE228" s="12"/>
      <c r="VWF228" s="12"/>
      <c r="VWG228" s="12"/>
      <c r="VWH228" s="12"/>
      <c r="VWI228" s="12"/>
      <c r="VWJ228" s="12"/>
      <c r="VWK228" s="12"/>
      <c r="VWL228" s="12"/>
      <c r="VWM228" s="12"/>
      <c r="VWN228" s="12"/>
      <c r="VWO228" s="12"/>
      <c r="VWP228" s="12"/>
      <c r="VWQ228" s="12"/>
      <c r="VWR228" s="12"/>
      <c r="VWS228" s="12"/>
      <c r="VWT228" s="12"/>
      <c r="VWU228" s="12"/>
      <c r="VWV228" s="12"/>
      <c r="VWW228" s="12"/>
      <c r="VWX228" s="12"/>
      <c r="VWY228" s="12"/>
      <c r="VWZ228" s="12"/>
      <c r="VXA228" s="12"/>
      <c r="VXB228" s="12"/>
      <c r="VXC228" s="12"/>
      <c r="VXD228" s="12"/>
      <c r="VXE228" s="12"/>
      <c r="VXF228" s="12"/>
      <c r="VXG228" s="12"/>
      <c r="VXH228" s="12"/>
      <c r="VXI228" s="12"/>
      <c r="VXJ228" s="12"/>
      <c r="VXK228" s="12"/>
      <c r="VXL228" s="12"/>
      <c r="VXM228" s="12"/>
      <c r="VXN228" s="12"/>
      <c r="VXO228" s="12"/>
      <c r="VXP228" s="12"/>
      <c r="VXQ228" s="12"/>
      <c r="VXR228" s="12"/>
      <c r="VXS228" s="12"/>
      <c r="VXT228" s="12"/>
      <c r="VXU228" s="12"/>
      <c r="VXV228" s="12"/>
      <c r="VXW228" s="12"/>
      <c r="VXX228" s="12"/>
      <c r="VXY228" s="12"/>
      <c r="VXZ228" s="12"/>
      <c r="VYA228" s="12"/>
      <c r="VYB228" s="12"/>
      <c r="VYC228" s="12"/>
      <c r="VYD228" s="12"/>
      <c r="VYE228" s="12"/>
      <c r="VYF228" s="12"/>
      <c r="VYG228" s="12"/>
      <c r="VYH228" s="12"/>
      <c r="VYI228" s="12"/>
      <c r="VYJ228" s="12"/>
      <c r="VYK228" s="12"/>
      <c r="VYL228" s="12"/>
      <c r="VYM228" s="12"/>
      <c r="VYN228" s="12"/>
      <c r="VYO228" s="12"/>
      <c r="VYP228" s="12"/>
      <c r="VYQ228" s="12"/>
      <c r="VYR228" s="12"/>
      <c r="VYS228" s="12"/>
      <c r="VYT228" s="12"/>
      <c r="VYU228" s="12"/>
      <c r="VYV228" s="12"/>
      <c r="VYW228" s="12"/>
      <c r="VYX228" s="12"/>
      <c r="VYY228" s="12"/>
      <c r="VYZ228" s="12"/>
      <c r="VZA228" s="12"/>
      <c r="VZB228" s="12"/>
      <c r="VZC228" s="12"/>
      <c r="VZD228" s="12"/>
      <c r="VZE228" s="12"/>
      <c r="VZF228" s="12"/>
      <c r="VZG228" s="12"/>
      <c r="VZH228" s="12"/>
      <c r="VZI228" s="12"/>
      <c r="VZJ228" s="12"/>
      <c r="VZK228" s="12"/>
      <c r="VZL228" s="12"/>
      <c r="VZM228" s="12"/>
      <c r="VZN228" s="12"/>
      <c r="VZO228" s="12"/>
      <c r="VZP228" s="12"/>
      <c r="VZQ228" s="12"/>
      <c r="VZR228" s="12"/>
      <c r="VZS228" s="12"/>
      <c r="VZT228" s="12"/>
      <c r="VZU228" s="12"/>
      <c r="VZV228" s="12"/>
      <c r="VZW228" s="12"/>
      <c r="VZX228" s="12"/>
      <c r="VZY228" s="12"/>
      <c r="VZZ228" s="12"/>
      <c r="WAA228" s="12"/>
      <c r="WAB228" s="12"/>
      <c r="WAC228" s="12"/>
      <c r="WAD228" s="12"/>
      <c r="WAE228" s="12"/>
      <c r="WAF228" s="12"/>
      <c r="WAG228" s="12"/>
      <c r="WAH228" s="12"/>
      <c r="WAI228" s="12"/>
      <c r="WAJ228" s="12"/>
      <c r="WAK228" s="12"/>
      <c r="WAL228" s="12"/>
      <c r="WAM228" s="12"/>
      <c r="WAN228" s="12"/>
      <c r="WAO228" s="12"/>
      <c r="WAP228" s="12"/>
      <c r="WAQ228" s="12"/>
      <c r="WAR228" s="12"/>
      <c r="WAS228" s="12"/>
      <c r="WAT228" s="12"/>
      <c r="WAU228" s="12"/>
      <c r="WAV228" s="12"/>
      <c r="WAW228" s="12"/>
      <c r="WAX228" s="12"/>
      <c r="WAY228" s="12"/>
      <c r="WAZ228" s="12"/>
      <c r="WBA228" s="12"/>
      <c r="WBB228" s="12"/>
      <c r="WBC228" s="12"/>
      <c r="WBD228" s="12"/>
      <c r="WBE228" s="12"/>
      <c r="WBF228" s="12"/>
      <c r="WBG228" s="12"/>
      <c r="WBH228" s="12"/>
      <c r="WBI228" s="12"/>
      <c r="WBJ228" s="12"/>
      <c r="WBK228" s="12"/>
      <c r="WBL228" s="12"/>
      <c r="WBM228" s="12"/>
      <c r="WBN228" s="12"/>
      <c r="WBO228" s="12"/>
      <c r="WBP228" s="12"/>
      <c r="WBQ228" s="12"/>
      <c r="WBR228" s="12"/>
      <c r="WBS228" s="12"/>
      <c r="WBT228" s="12"/>
      <c r="WBU228" s="12"/>
      <c r="WBV228" s="12"/>
      <c r="WBW228" s="12"/>
      <c r="WBX228" s="12"/>
      <c r="WBY228" s="12"/>
      <c r="WBZ228" s="12"/>
      <c r="WCA228" s="12"/>
      <c r="WCB228" s="12"/>
      <c r="WCC228" s="12"/>
      <c r="WCD228" s="12"/>
      <c r="WCE228" s="12"/>
      <c r="WCF228" s="12"/>
      <c r="WCG228" s="12"/>
      <c r="WCH228" s="12"/>
      <c r="WCI228" s="12"/>
      <c r="WCJ228" s="12"/>
      <c r="WCK228" s="12"/>
      <c r="WCL228" s="12"/>
      <c r="WCM228" s="12"/>
      <c r="WCN228" s="12"/>
      <c r="WCO228" s="12"/>
      <c r="WCP228" s="12"/>
      <c r="WCQ228" s="12"/>
      <c r="WCR228" s="12"/>
      <c r="WCS228" s="12"/>
      <c r="WCT228" s="12"/>
      <c r="WCU228" s="12"/>
      <c r="WCV228" s="12"/>
      <c r="WCW228" s="12"/>
      <c r="WCX228" s="12"/>
      <c r="WCY228" s="12"/>
      <c r="WCZ228" s="12"/>
      <c r="WDA228" s="12"/>
      <c r="WDB228" s="12"/>
      <c r="WDC228" s="12"/>
      <c r="WDD228" s="12"/>
      <c r="WDE228" s="12"/>
      <c r="WDF228" s="12"/>
      <c r="WDG228" s="12"/>
      <c r="WDH228" s="12"/>
      <c r="WDI228" s="12"/>
      <c r="WDJ228" s="12"/>
      <c r="WDK228" s="12"/>
      <c r="WDL228" s="12"/>
      <c r="WDM228" s="12"/>
      <c r="WDN228" s="12"/>
      <c r="WDO228" s="12"/>
      <c r="WDP228" s="12"/>
      <c r="WDQ228" s="12"/>
      <c r="WDR228" s="12"/>
      <c r="WDS228" s="12"/>
      <c r="WDT228" s="12"/>
      <c r="WDU228" s="12"/>
      <c r="WDV228" s="12"/>
      <c r="WDW228" s="12"/>
      <c r="WDX228" s="12"/>
      <c r="WDY228" s="12"/>
      <c r="WDZ228" s="12"/>
      <c r="WEA228" s="12"/>
      <c r="WEB228" s="12"/>
      <c r="WEC228" s="12"/>
      <c r="WED228" s="12"/>
      <c r="WEE228" s="12"/>
      <c r="WEF228" s="12"/>
      <c r="WEG228" s="12"/>
      <c r="WEH228" s="12"/>
      <c r="WEI228" s="12"/>
      <c r="WEJ228" s="12"/>
      <c r="WEK228" s="12"/>
      <c r="WEL228" s="12"/>
      <c r="WEM228" s="12"/>
      <c r="WEN228" s="12"/>
      <c r="WEO228" s="12"/>
      <c r="WEP228" s="12"/>
      <c r="WEQ228" s="12"/>
      <c r="WER228" s="12"/>
      <c r="WES228" s="12"/>
      <c r="WET228" s="12"/>
      <c r="WEU228" s="12"/>
      <c r="WEV228" s="12"/>
      <c r="WEW228" s="12"/>
      <c r="WEX228" s="12"/>
      <c r="WEY228" s="12"/>
      <c r="WEZ228" s="12"/>
      <c r="WFA228" s="12"/>
      <c r="WFB228" s="12"/>
      <c r="WFC228" s="12"/>
      <c r="WFD228" s="12"/>
      <c r="WFE228" s="12"/>
      <c r="WFF228" s="12"/>
      <c r="WFG228" s="12"/>
      <c r="WFH228" s="12"/>
      <c r="WFI228" s="12"/>
      <c r="WFJ228" s="12"/>
      <c r="WFK228" s="12"/>
      <c r="WFL228" s="12"/>
      <c r="WFM228" s="12"/>
      <c r="WFN228" s="12"/>
      <c r="WFO228" s="12"/>
      <c r="WFP228" s="12"/>
      <c r="WFQ228" s="12"/>
      <c r="WFR228" s="12"/>
      <c r="WFS228" s="12"/>
      <c r="WFT228" s="12"/>
      <c r="WFU228" s="12"/>
      <c r="WFV228" s="12"/>
      <c r="WFW228" s="12"/>
      <c r="WFX228" s="12"/>
      <c r="WFY228" s="12"/>
      <c r="WFZ228" s="12"/>
      <c r="WGA228" s="12"/>
      <c r="WGB228" s="12"/>
      <c r="WGC228" s="12"/>
      <c r="WGD228" s="12"/>
      <c r="WGE228" s="12"/>
      <c r="WGF228" s="12"/>
      <c r="WGG228" s="12"/>
      <c r="WGH228" s="12"/>
      <c r="WGI228" s="12"/>
      <c r="WGJ228" s="12"/>
      <c r="WGK228" s="12"/>
      <c r="WGL228" s="12"/>
      <c r="WGM228" s="12"/>
      <c r="WGN228" s="12"/>
      <c r="WGO228" s="12"/>
      <c r="WGP228" s="12"/>
      <c r="WGQ228" s="12"/>
      <c r="WGR228" s="12"/>
      <c r="WGS228" s="12"/>
      <c r="WGT228" s="12"/>
      <c r="WGU228" s="12"/>
      <c r="WGV228" s="12"/>
      <c r="WGW228" s="12"/>
      <c r="WGX228" s="12"/>
      <c r="WGY228" s="12"/>
      <c r="WGZ228" s="12"/>
      <c r="WHA228" s="12"/>
      <c r="WHB228" s="12"/>
      <c r="WHC228" s="12"/>
      <c r="WHD228" s="12"/>
      <c r="WHE228" s="12"/>
      <c r="WHF228" s="12"/>
      <c r="WHG228" s="12"/>
      <c r="WHH228" s="12"/>
      <c r="WHI228" s="12"/>
      <c r="WHJ228" s="12"/>
      <c r="WHK228" s="12"/>
      <c r="WHL228" s="12"/>
      <c r="WHM228" s="12"/>
      <c r="WHN228" s="12"/>
      <c r="WHO228" s="12"/>
      <c r="WHP228" s="12"/>
      <c r="WHQ228" s="12"/>
      <c r="WHR228" s="12"/>
      <c r="WHS228" s="12"/>
      <c r="WHT228" s="12"/>
      <c r="WHU228" s="12"/>
      <c r="WHV228" s="12"/>
      <c r="WHW228" s="12"/>
      <c r="WHX228" s="12"/>
      <c r="WHY228" s="12"/>
      <c r="WHZ228" s="12"/>
      <c r="WIA228" s="12"/>
      <c r="WIB228" s="12"/>
      <c r="WIC228" s="12"/>
      <c r="WID228" s="12"/>
      <c r="WIE228" s="12"/>
      <c r="WIF228" s="12"/>
      <c r="WIG228" s="12"/>
      <c r="WIH228" s="12"/>
      <c r="WII228" s="12"/>
      <c r="WIJ228" s="12"/>
      <c r="WIK228" s="12"/>
      <c r="WIL228" s="12"/>
      <c r="WIM228" s="12"/>
      <c r="WIN228" s="12"/>
      <c r="WIO228" s="12"/>
      <c r="WIP228" s="12"/>
      <c r="WIQ228" s="12"/>
      <c r="WIR228" s="12"/>
      <c r="WIS228" s="12"/>
      <c r="WIT228" s="12"/>
      <c r="WIU228" s="12"/>
      <c r="WIV228" s="12"/>
      <c r="WIW228" s="12"/>
      <c r="WIX228" s="12"/>
      <c r="WIY228" s="12"/>
      <c r="WIZ228" s="12"/>
      <c r="WJA228" s="12"/>
      <c r="WJB228" s="12"/>
      <c r="WJC228" s="12"/>
      <c r="WJD228" s="12"/>
      <c r="WJE228" s="12"/>
      <c r="WJF228" s="12"/>
      <c r="WJG228" s="12"/>
      <c r="WJH228" s="12"/>
      <c r="WJI228" s="12"/>
      <c r="WJJ228" s="12"/>
      <c r="WJK228" s="12"/>
      <c r="WJL228" s="12"/>
      <c r="WJM228" s="12"/>
      <c r="WJN228" s="12"/>
      <c r="WJO228" s="12"/>
      <c r="WJP228" s="12"/>
      <c r="WJQ228" s="12"/>
      <c r="WJR228" s="12"/>
      <c r="WJS228" s="12"/>
      <c r="WJT228" s="12"/>
      <c r="WJU228" s="12"/>
      <c r="WJV228" s="12"/>
      <c r="WJW228" s="12"/>
      <c r="WJX228" s="12"/>
      <c r="WJY228" s="12"/>
      <c r="WJZ228" s="12"/>
      <c r="WKA228" s="12"/>
      <c r="WKB228" s="12"/>
      <c r="WKC228" s="12"/>
      <c r="WKD228" s="12"/>
      <c r="WKE228" s="12"/>
      <c r="WKF228" s="12"/>
      <c r="WKG228" s="12"/>
      <c r="WKH228" s="12"/>
      <c r="WKI228" s="12"/>
      <c r="WKJ228" s="12"/>
      <c r="WKK228" s="12"/>
      <c r="WKL228" s="12"/>
      <c r="WKM228" s="12"/>
      <c r="WKN228" s="12"/>
      <c r="WKO228" s="12"/>
      <c r="WKP228" s="12"/>
      <c r="WKQ228" s="12"/>
      <c r="WKR228" s="12"/>
      <c r="WKS228" s="12"/>
      <c r="WKT228" s="12"/>
      <c r="WKU228" s="12"/>
      <c r="WKV228" s="12"/>
      <c r="WKW228" s="12"/>
      <c r="WKX228" s="12"/>
      <c r="WKY228" s="12"/>
      <c r="WKZ228" s="12"/>
      <c r="WLA228" s="12"/>
      <c r="WLB228" s="12"/>
      <c r="WLC228" s="12"/>
      <c r="WLD228" s="12"/>
      <c r="WLE228" s="12"/>
      <c r="WLF228" s="12"/>
      <c r="WLG228" s="12"/>
      <c r="WLH228" s="12"/>
      <c r="WLI228" s="12"/>
      <c r="WLJ228" s="12"/>
      <c r="WLK228" s="12"/>
      <c r="WLL228" s="12"/>
      <c r="WLM228" s="12"/>
      <c r="WLN228" s="12"/>
      <c r="WLO228" s="12"/>
      <c r="WLP228" s="12"/>
      <c r="WLQ228" s="12"/>
      <c r="WLR228" s="12"/>
      <c r="WLS228" s="12"/>
      <c r="WLT228" s="12"/>
      <c r="WLU228" s="12"/>
      <c r="WLV228" s="12"/>
      <c r="WLW228" s="12"/>
      <c r="WLX228" s="12"/>
      <c r="WLY228" s="12"/>
      <c r="WLZ228" s="12"/>
      <c r="WMA228" s="12"/>
      <c r="WMB228" s="12"/>
      <c r="WMC228" s="12"/>
      <c r="WMD228" s="12"/>
      <c r="WME228" s="12"/>
      <c r="WMF228" s="12"/>
      <c r="WMG228" s="12"/>
      <c r="WMH228" s="12"/>
      <c r="WMI228" s="12"/>
      <c r="WMJ228" s="12"/>
      <c r="WMK228" s="12"/>
      <c r="WML228" s="12"/>
      <c r="WMM228" s="12"/>
      <c r="WMN228" s="12"/>
      <c r="WMO228" s="12"/>
      <c r="WMP228" s="12"/>
      <c r="WMQ228" s="12"/>
      <c r="WMR228" s="12"/>
      <c r="WMS228" s="12"/>
      <c r="WMT228" s="12"/>
      <c r="WMU228" s="12"/>
      <c r="WMV228" s="12"/>
      <c r="WMW228" s="12"/>
      <c r="WMX228" s="12"/>
      <c r="WMY228" s="12"/>
      <c r="WMZ228" s="12"/>
      <c r="WNA228" s="12"/>
      <c r="WNB228" s="12"/>
      <c r="WNC228" s="12"/>
      <c r="WND228" s="12"/>
      <c r="WNE228" s="12"/>
      <c r="WNF228" s="12"/>
      <c r="WNG228" s="12"/>
      <c r="WNH228" s="12"/>
      <c r="WNI228" s="12"/>
      <c r="WNJ228" s="12"/>
      <c r="WNK228" s="12"/>
      <c r="WNL228" s="12"/>
      <c r="WNM228" s="12"/>
      <c r="WNN228" s="12"/>
      <c r="WNO228" s="12"/>
      <c r="WNP228" s="12"/>
      <c r="WNQ228" s="12"/>
      <c r="WNR228" s="12"/>
      <c r="WNS228" s="12"/>
      <c r="WNT228" s="12"/>
      <c r="WNU228" s="12"/>
      <c r="WNV228" s="12"/>
      <c r="WNW228" s="12"/>
      <c r="WNX228" s="12"/>
      <c r="WNY228" s="12"/>
      <c r="WNZ228" s="12"/>
      <c r="WOA228" s="12"/>
      <c r="WOB228" s="12"/>
      <c r="WOC228" s="12"/>
      <c r="WOD228" s="12"/>
      <c r="WOE228" s="12"/>
      <c r="WOF228" s="12"/>
      <c r="WOG228" s="12"/>
      <c r="WOH228" s="12"/>
      <c r="WOI228" s="12"/>
      <c r="WOJ228" s="12"/>
      <c r="WOK228" s="12"/>
      <c r="WOL228" s="12"/>
      <c r="WOM228" s="12"/>
      <c r="WON228" s="12"/>
      <c r="WOO228" s="12"/>
      <c r="WOP228" s="12"/>
      <c r="WOQ228" s="12"/>
      <c r="WOR228" s="12"/>
      <c r="WOS228" s="12"/>
      <c r="WOT228" s="12"/>
      <c r="WOU228" s="12"/>
      <c r="WOV228" s="12"/>
      <c r="WOW228" s="12"/>
      <c r="WOX228" s="12"/>
      <c r="WOY228" s="12"/>
      <c r="WOZ228" s="12"/>
      <c r="WPA228" s="12"/>
      <c r="WPB228" s="12"/>
      <c r="WPC228" s="12"/>
      <c r="WPD228" s="12"/>
      <c r="WPE228" s="12"/>
      <c r="WPF228" s="12"/>
      <c r="WPG228" s="12"/>
      <c r="WPH228" s="12"/>
      <c r="WPI228" s="12"/>
      <c r="WPJ228" s="12"/>
      <c r="WPK228" s="12"/>
      <c r="WPL228" s="12"/>
      <c r="WPM228" s="12"/>
      <c r="WPN228" s="12"/>
      <c r="WPO228" s="12"/>
      <c r="WPP228" s="12"/>
      <c r="WPQ228" s="12"/>
      <c r="WPR228" s="12"/>
      <c r="WPS228" s="12"/>
      <c r="WPT228" s="12"/>
      <c r="WPU228" s="12"/>
      <c r="WPV228" s="12"/>
      <c r="WPW228" s="12"/>
      <c r="WPX228" s="12"/>
      <c r="WPY228" s="12"/>
      <c r="WPZ228" s="12"/>
      <c r="WQA228" s="12"/>
      <c r="WQB228" s="12"/>
      <c r="WQC228" s="12"/>
      <c r="WQD228" s="12"/>
      <c r="WQE228" s="12"/>
      <c r="WQF228" s="12"/>
      <c r="WQG228" s="12"/>
      <c r="WQH228" s="12"/>
      <c r="WQI228" s="12"/>
      <c r="WQJ228" s="12"/>
      <c r="WQK228" s="12"/>
      <c r="WQL228" s="12"/>
      <c r="WQM228" s="12"/>
      <c r="WQN228" s="12"/>
      <c r="WQO228" s="12"/>
      <c r="WQP228" s="12"/>
      <c r="WQQ228" s="12"/>
      <c r="WQR228" s="12"/>
      <c r="WQS228" s="12"/>
      <c r="WQT228" s="12"/>
      <c r="WQU228" s="12"/>
      <c r="WQV228" s="12"/>
      <c r="WQW228" s="12"/>
      <c r="WQX228" s="12"/>
      <c r="WQY228" s="12"/>
      <c r="WQZ228" s="12"/>
      <c r="WRA228" s="12"/>
      <c r="WRB228" s="12"/>
      <c r="WRC228" s="12"/>
      <c r="WRD228" s="12"/>
      <c r="WRE228" s="12"/>
      <c r="WRF228" s="12"/>
      <c r="WRG228" s="12"/>
      <c r="WRH228" s="12"/>
      <c r="WRI228" s="12"/>
      <c r="WRJ228" s="12"/>
      <c r="WRK228" s="12"/>
      <c r="WRL228" s="12"/>
      <c r="WRM228" s="12"/>
      <c r="WRN228" s="12"/>
      <c r="WRO228" s="12"/>
      <c r="WRP228" s="12"/>
      <c r="WRQ228" s="12"/>
      <c r="WRR228" s="12"/>
      <c r="WRS228" s="12"/>
      <c r="WRT228" s="12"/>
      <c r="WRU228" s="12"/>
      <c r="WRV228" s="12"/>
      <c r="WRW228" s="12"/>
      <c r="WRX228" s="12"/>
      <c r="WRY228" s="12"/>
      <c r="WRZ228" s="12"/>
      <c r="WSA228" s="12"/>
      <c r="WSB228" s="12"/>
      <c r="WSC228" s="12"/>
      <c r="WSD228" s="12"/>
      <c r="WSE228" s="12"/>
      <c r="WSF228" s="12"/>
      <c r="WSG228" s="12"/>
      <c r="WSH228" s="12"/>
      <c r="WSI228" s="12"/>
      <c r="WSJ228" s="12"/>
      <c r="WSK228" s="12"/>
      <c r="WSL228" s="12"/>
      <c r="WSM228" s="12"/>
      <c r="WSN228" s="12"/>
      <c r="WSO228" s="12"/>
      <c r="WSP228" s="12"/>
      <c r="WSQ228" s="12"/>
      <c r="WSR228" s="12"/>
      <c r="WSS228" s="12"/>
      <c r="WST228" s="12"/>
      <c r="WSU228" s="12"/>
      <c r="WSV228" s="12"/>
      <c r="WSW228" s="12"/>
      <c r="WSX228" s="12"/>
      <c r="WSY228" s="12"/>
      <c r="WSZ228" s="12"/>
      <c r="WTA228" s="12"/>
      <c r="WTB228" s="12"/>
      <c r="WTC228" s="12"/>
      <c r="WTD228" s="12"/>
      <c r="WTE228" s="12"/>
      <c r="WTF228" s="12"/>
      <c r="WTG228" s="12"/>
      <c r="WTH228" s="12"/>
      <c r="WTI228" s="12"/>
      <c r="WTJ228" s="12"/>
      <c r="WTK228" s="12"/>
      <c r="WTL228" s="12"/>
      <c r="WTM228" s="12"/>
      <c r="WTN228" s="12"/>
      <c r="WTO228" s="12"/>
      <c r="WTP228" s="12"/>
      <c r="WTQ228" s="12"/>
      <c r="WTR228" s="12"/>
      <c r="WTS228" s="12"/>
      <c r="WTT228" s="12"/>
      <c r="WTU228" s="12"/>
      <c r="WTV228" s="12"/>
      <c r="WTW228" s="12"/>
      <c r="WTX228" s="12"/>
      <c r="WTY228" s="12"/>
      <c r="WTZ228" s="12"/>
      <c r="WUA228" s="12"/>
      <c r="WUB228" s="12"/>
      <c r="WUC228" s="12"/>
      <c r="WUD228" s="12"/>
      <c r="WUE228" s="12"/>
      <c r="WUF228" s="12"/>
      <c r="WUG228" s="12"/>
      <c r="WUH228" s="12"/>
      <c r="WUI228" s="12"/>
      <c r="WUJ228" s="12"/>
      <c r="WUK228" s="12"/>
      <c r="WUL228" s="12"/>
      <c r="WUM228" s="12"/>
      <c r="WUN228" s="12"/>
      <c r="WUO228" s="12"/>
      <c r="WUP228" s="12"/>
      <c r="WUQ228" s="12"/>
      <c r="WUR228" s="12"/>
      <c r="WUS228" s="12"/>
      <c r="WUT228" s="12"/>
      <c r="WUU228" s="12"/>
      <c r="WUV228" s="12"/>
      <c r="WUW228" s="12"/>
      <c r="WUX228" s="12"/>
      <c r="WUY228" s="12"/>
      <c r="WUZ228" s="12"/>
      <c r="WVA228" s="12"/>
      <c r="WVB228" s="12"/>
      <c r="WVC228" s="12"/>
      <c r="WVD228" s="12"/>
      <c r="WVE228" s="12"/>
      <c r="WVF228" s="12"/>
      <c r="WVG228" s="12"/>
      <c r="WVH228" s="12"/>
      <c r="WVI228" s="12"/>
      <c r="WVJ228" s="12"/>
      <c r="WVK228" s="12"/>
      <c r="WVL228" s="12"/>
      <c r="WVM228" s="12"/>
      <c r="WVN228" s="12"/>
      <c r="WVO228" s="12"/>
      <c r="WVP228" s="12"/>
      <c r="WVQ228" s="12"/>
      <c r="WVR228" s="12"/>
      <c r="WVS228" s="12"/>
      <c r="WVT228" s="12"/>
      <c r="WVU228" s="12"/>
      <c r="WVV228" s="12"/>
      <c r="WVW228" s="12"/>
      <c r="WVX228" s="12"/>
      <c r="WVY228" s="12"/>
      <c r="WVZ228" s="12"/>
      <c r="WWA228" s="12"/>
      <c r="WWB228" s="12"/>
      <c r="WWC228" s="12"/>
      <c r="WWD228" s="12"/>
      <c r="WWE228" s="12"/>
      <c r="WWF228" s="12"/>
      <c r="WWG228" s="12"/>
      <c r="WWH228" s="12"/>
      <c r="WWI228" s="12"/>
      <c r="WWJ228" s="12"/>
      <c r="WWK228" s="12"/>
      <c r="WWL228" s="12"/>
      <c r="WWM228" s="12"/>
      <c r="WWN228" s="12"/>
      <c r="WWO228" s="12"/>
      <c r="WWP228" s="12"/>
      <c r="WWQ228" s="12"/>
      <c r="WWR228" s="12"/>
      <c r="WWS228" s="12"/>
      <c r="WWT228" s="12"/>
      <c r="WWU228" s="12"/>
      <c r="WWV228" s="12"/>
      <c r="WWW228" s="12"/>
      <c r="WWX228" s="12"/>
      <c r="WWY228" s="12"/>
      <c r="WWZ228" s="12"/>
      <c r="WXA228" s="12"/>
      <c r="WXB228" s="12"/>
      <c r="WXC228" s="12"/>
      <c r="WXD228" s="12"/>
      <c r="WXE228" s="12"/>
      <c r="WXF228" s="12"/>
      <c r="WXG228" s="12"/>
      <c r="WXH228" s="12"/>
      <c r="WXI228" s="12"/>
      <c r="WXJ228" s="12"/>
      <c r="WXK228" s="12"/>
      <c r="WXL228" s="12"/>
      <c r="WXM228" s="12"/>
      <c r="WXN228" s="12"/>
      <c r="WXO228" s="12"/>
      <c r="WXP228" s="12"/>
      <c r="WXQ228" s="12"/>
      <c r="WXR228" s="12"/>
      <c r="WXS228" s="12"/>
      <c r="WXT228" s="12"/>
      <c r="WXU228" s="12"/>
      <c r="WXV228" s="12"/>
      <c r="WXW228" s="12"/>
      <c r="WXX228" s="12"/>
      <c r="WXY228" s="12"/>
      <c r="WXZ228" s="12"/>
      <c r="WYA228" s="12"/>
      <c r="WYB228" s="12"/>
      <c r="WYC228" s="12"/>
    </row>
    <row r="229" spans="1:16201" ht="34.5" customHeight="1" x14ac:dyDescent="0.3">
      <c r="A229" s="147"/>
      <c r="B229" s="129"/>
      <c r="C229" s="154"/>
      <c r="D229" s="38" t="s">
        <v>10</v>
      </c>
      <c r="E229" s="21">
        <f>SUM(F229:N229)</f>
        <v>0</v>
      </c>
      <c r="F229" s="21">
        <f>F232+F237</f>
        <v>0</v>
      </c>
      <c r="G229" s="21">
        <v>0</v>
      </c>
      <c r="H229" s="133">
        <f>H232</f>
        <v>0</v>
      </c>
      <c r="I229" s="134"/>
      <c r="J229" s="134"/>
      <c r="K229" s="134"/>
      <c r="L229" s="135"/>
      <c r="M229" s="21">
        <f>M232</f>
        <v>0</v>
      </c>
      <c r="N229" s="21">
        <v>0</v>
      </c>
      <c r="O229" s="154"/>
    </row>
    <row r="230" spans="1:16201" ht="38.25" customHeight="1" x14ac:dyDescent="0.3">
      <c r="A230" s="148"/>
      <c r="B230" s="130"/>
      <c r="C230" s="155"/>
      <c r="D230" s="38" t="s">
        <v>18</v>
      </c>
      <c r="E230" s="21">
        <f>SUM(F230:N230)</f>
        <v>0</v>
      </c>
      <c r="F230" s="21">
        <f>F233</f>
        <v>0</v>
      </c>
      <c r="G230" s="21">
        <f>G233</f>
        <v>0</v>
      </c>
      <c r="H230" s="133">
        <f>H233</f>
        <v>0</v>
      </c>
      <c r="I230" s="134"/>
      <c r="J230" s="134"/>
      <c r="K230" s="134"/>
      <c r="L230" s="135"/>
      <c r="M230" s="21">
        <f>M233</f>
        <v>0</v>
      </c>
      <c r="N230" s="21">
        <v>0</v>
      </c>
      <c r="O230" s="155"/>
    </row>
    <row r="231" spans="1:16201" ht="27" customHeight="1" x14ac:dyDescent="0.3">
      <c r="A231" s="161" t="s">
        <v>28</v>
      </c>
      <c r="B231" s="128" t="s">
        <v>41</v>
      </c>
      <c r="C231" s="153" t="s">
        <v>67</v>
      </c>
      <c r="D231" s="38" t="s">
        <v>14</v>
      </c>
      <c r="E231" s="21">
        <f>F231+G231+H231+M231+N231</f>
        <v>0</v>
      </c>
      <c r="F231" s="21">
        <f>F232+F233</f>
        <v>0</v>
      </c>
      <c r="G231" s="21">
        <f>G232+G233</f>
        <v>0</v>
      </c>
      <c r="H231" s="133">
        <f>H232+H233</f>
        <v>0</v>
      </c>
      <c r="I231" s="134"/>
      <c r="J231" s="134"/>
      <c r="K231" s="134"/>
      <c r="L231" s="135"/>
      <c r="M231" s="21">
        <f>M232+M233</f>
        <v>0</v>
      </c>
      <c r="N231" s="21">
        <f>N232+N233</f>
        <v>0</v>
      </c>
      <c r="O231" s="127" t="s">
        <v>17</v>
      </c>
    </row>
    <row r="232" spans="1:16201" ht="36.75" customHeight="1" x14ac:dyDescent="0.3">
      <c r="A232" s="161"/>
      <c r="B232" s="129"/>
      <c r="C232" s="154"/>
      <c r="D232" s="38" t="s">
        <v>10</v>
      </c>
      <c r="E232" s="21">
        <v>0</v>
      </c>
      <c r="F232" s="21">
        <v>0</v>
      </c>
      <c r="G232" s="21">
        <v>0</v>
      </c>
      <c r="H232" s="133">
        <v>0</v>
      </c>
      <c r="I232" s="134"/>
      <c r="J232" s="134"/>
      <c r="K232" s="134"/>
      <c r="L232" s="135"/>
      <c r="M232" s="21">
        <v>0</v>
      </c>
      <c r="N232" s="21">
        <v>0</v>
      </c>
      <c r="O232" s="127"/>
    </row>
    <row r="233" spans="1:16201" ht="57" customHeight="1" x14ac:dyDescent="0.3">
      <c r="A233" s="161"/>
      <c r="B233" s="130"/>
      <c r="C233" s="155"/>
      <c r="D233" s="38" t="s">
        <v>11</v>
      </c>
      <c r="E233" s="21">
        <f>F233+G233+H233+M233+N233</f>
        <v>0</v>
      </c>
      <c r="F233" s="21">
        <v>0</v>
      </c>
      <c r="G233" s="21">
        <v>0</v>
      </c>
      <c r="H233" s="133">
        <v>0</v>
      </c>
      <c r="I233" s="134"/>
      <c r="J233" s="134"/>
      <c r="K233" s="134"/>
      <c r="L233" s="135"/>
      <c r="M233" s="21">
        <v>0</v>
      </c>
      <c r="N233" s="21">
        <v>0</v>
      </c>
      <c r="O233" s="127"/>
    </row>
    <row r="234" spans="1:16201" ht="23.25" customHeight="1" x14ac:dyDescent="0.3">
      <c r="A234" s="161"/>
      <c r="B234" s="137" t="s">
        <v>314</v>
      </c>
      <c r="C234" s="131" t="s">
        <v>101</v>
      </c>
      <c r="D234" s="131" t="s">
        <v>101</v>
      </c>
      <c r="E234" s="126" t="s">
        <v>102</v>
      </c>
      <c r="F234" s="126" t="s">
        <v>103</v>
      </c>
      <c r="G234" s="139" t="s">
        <v>501</v>
      </c>
      <c r="H234" s="132" t="s">
        <v>499</v>
      </c>
      <c r="I234" s="133" t="s">
        <v>332</v>
      </c>
      <c r="J234" s="134"/>
      <c r="K234" s="134"/>
      <c r="L234" s="135"/>
      <c r="M234" s="126" t="s">
        <v>105</v>
      </c>
      <c r="N234" s="126" t="s">
        <v>106</v>
      </c>
      <c r="O234" s="127"/>
    </row>
    <row r="235" spans="1:16201" ht="23.25" customHeight="1" x14ac:dyDescent="0.3">
      <c r="A235" s="161"/>
      <c r="B235" s="137"/>
      <c r="C235" s="131"/>
      <c r="D235" s="131"/>
      <c r="E235" s="126"/>
      <c r="F235" s="126"/>
      <c r="G235" s="140"/>
      <c r="H235" s="126"/>
      <c r="I235" s="23" t="s">
        <v>327</v>
      </c>
      <c r="J235" s="23" t="s">
        <v>328</v>
      </c>
      <c r="K235" s="23" t="s">
        <v>329</v>
      </c>
      <c r="L235" s="23" t="s">
        <v>330</v>
      </c>
      <c r="M235" s="126"/>
      <c r="N235" s="126"/>
      <c r="O235" s="127"/>
    </row>
    <row r="236" spans="1:16201" ht="24.75" customHeight="1" x14ac:dyDescent="0.3">
      <c r="A236" s="161"/>
      <c r="B236" s="137"/>
      <c r="C236" s="131"/>
      <c r="D236" s="131"/>
      <c r="E236" s="14">
        <v>0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27"/>
    </row>
    <row r="237" spans="1:16201" ht="34.5" customHeight="1" x14ac:dyDescent="0.3">
      <c r="A237" s="207" t="s">
        <v>54</v>
      </c>
      <c r="B237" s="137" t="s">
        <v>40</v>
      </c>
      <c r="C237" s="161" t="s">
        <v>67</v>
      </c>
      <c r="D237" s="38" t="s">
        <v>10</v>
      </c>
      <c r="E237" s="21">
        <v>0</v>
      </c>
      <c r="F237" s="21">
        <v>0</v>
      </c>
      <c r="G237" s="21">
        <v>0</v>
      </c>
      <c r="H237" s="133">
        <v>0</v>
      </c>
      <c r="I237" s="134"/>
      <c r="J237" s="134"/>
      <c r="K237" s="134"/>
      <c r="L237" s="135"/>
      <c r="M237" s="21">
        <v>0</v>
      </c>
      <c r="N237" s="21">
        <v>0</v>
      </c>
      <c r="O237" s="127" t="s">
        <v>17</v>
      </c>
    </row>
    <row r="238" spans="1:16201" ht="35.25" customHeight="1" x14ac:dyDescent="0.3">
      <c r="A238" s="207"/>
      <c r="B238" s="137"/>
      <c r="C238" s="161"/>
      <c r="D238" s="38" t="s">
        <v>18</v>
      </c>
      <c r="E238" s="21">
        <v>0</v>
      </c>
      <c r="F238" s="21">
        <v>0</v>
      </c>
      <c r="G238" s="21">
        <v>0</v>
      </c>
      <c r="H238" s="133">
        <v>0</v>
      </c>
      <c r="I238" s="134"/>
      <c r="J238" s="134"/>
      <c r="K238" s="134"/>
      <c r="L238" s="135"/>
      <c r="M238" s="21">
        <v>0</v>
      </c>
      <c r="N238" s="21">
        <v>0</v>
      </c>
      <c r="O238" s="127"/>
    </row>
    <row r="239" spans="1:16201" ht="25.5" customHeight="1" x14ac:dyDescent="0.3">
      <c r="A239" s="207"/>
      <c r="B239" s="137"/>
      <c r="C239" s="161"/>
      <c r="D239" s="38" t="s">
        <v>12</v>
      </c>
      <c r="E239" s="21">
        <v>0</v>
      </c>
      <c r="F239" s="21">
        <v>0</v>
      </c>
      <c r="G239" s="21">
        <v>0</v>
      </c>
      <c r="H239" s="133">
        <v>0</v>
      </c>
      <c r="I239" s="134"/>
      <c r="J239" s="134"/>
      <c r="K239" s="134"/>
      <c r="L239" s="135"/>
      <c r="M239" s="21">
        <v>0</v>
      </c>
      <c r="N239" s="21">
        <v>0</v>
      </c>
      <c r="O239" s="127"/>
    </row>
    <row r="240" spans="1:16201" ht="23.25" customHeight="1" x14ac:dyDescent="0.3">
      <c r="A240" s="207"/>
      <c r="B240" s="137" t="s">
        <v>315</v>
      </c>
      <c r="C240" s="131" t="s">
        <v>101</v>
      </c>
      <c r="D240" s="131" t="s">
        <v>101</v>
      </c>
      <c r="E240" s="126" t="s">
        <v>102</v>
      </c>
      <c r="F240" s="126" t="s">
        <v>103</v>
      </c>
      <c r="G240" s="139" t="s">
        <v>501</v>
      </c>
      <c r="H240" s="132" t="s">
        <v>499</v>
      </c>
      <c r="I240" s="133" t="s">
        <v>332</v>
      </c>
      <c r="J240" s="134"/>
      <c r="K240" s="134"/>
      <c r="L240" s="135"/>
      <c r="M240" s="126" t="s">
        <v>105</v>
      </c>
      <c r="N240" s="126" t="s">
        <v>106</v>
      </c>
      <c r="O240" s="127"/>
    </row>
    <row r="241" spans="1:17" ht="23.25" customHeight="1" x14ac:dyDescent="0.3">
      <c r="A241" s="207"/>
      <c r="B241" s="137"/>
      <c r="C241" s="131"/>
      <c r="D241" s="131"/>
      <c r="E241" s="126"/>
      <c r="F241" s="126"/>
      <c r="G241" s="140"/>
      <c r="H241" s="126"/>
      <c r="I241" s="23" t="s">
        <v>327</v>
      </c>
      <c r="J241" s="23" t="s">
        <v>328</v>
      </c>
      <c r="K241" s="23" t="s">
        <v>329</v>
      </c>
      <c r="L241" s="23" t="s">
        <v>330</v>
      </c>
      <c r="M241" s="126"/>
      <c r="N241" s="126"/>
      <c r="O241" s="127"/>
    </row>
    <row r="242" spans="1:17" ht="29.25" customHeight="1" x14ac:dyDescent="0.3">
      <c r="A242" s="207"/>
      <c r="B242" s="137"/>
      <c r="C242" s="131"/>
      <c r="D242" s="131"/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27"/>
    </row>
    <row r="243" spans="1:17" ht="35.25" customHeight="1" x14ac:dyDescent="0.3">
      <c r="A243" s="161" t="s">
        <v>31</v>
      </c>
      <c r="B243" s="137" t="s">
        <v>269</v>
      </c>
      <c r="C243" s="127" t="s">
        <v>67</v>
      </c>
      <c r="D243" s="38" t="s">
        <v>8</v>
      </c>
      <c r="E243" s="24">
        <f>E244+E245</f>
        <v>36232.871720000003</v>
      </c>
      <c r="F243" s="24">
        <f t="shared" ref="F243:N243" si="33">F244+F245</f>
        <v>100</v>
      </c>
      <c r="G243" s="24">
        <f t="shared" si="33"/>
        <v>13945.846720000001</v>
      </c>
      <c r="H243" s="141">
        <f t="shared" si="33"/>
        <v>10187.025</v>
      </c>
      <c r="I243" s="142"/>
      <c r="J243" s="142"/>
      <c r="K243" s="142"/>
      <c r="L243" s="143"/>
      <c r="M243" s="24">
        <f t="shared" si="33"/>
        <v>6000</v>
      </c>
      <c r="N243" s="24">
        <f t="shared" si="33"/>
        <v>6000</v>
      </c>
      <c r="O243" s="127"/>
    </row>
    <row r="244" spans="1:17" ht="36" customHeight="1" x14ac:dyDescent="0.3">
      <c r="A244" s="161"/>
      <c r="B244" s="137"/>
      <c r="C244" s="127"/>
      <c r="D244" s="38" t="s">
        <v>10</v>
      </c>
      <c r="E244" s="24">
        <f>F244+G244+H244+M244+N244</f>
        <v>0</v>
      </c>
      <c r="F244" s="24">
        <v>0</v>
      </c>
      <c r="G244" s="24">
        <v>0</v>
      </c>
      <c r="H244" s="141">
        <v>0</v>
      </c>
      <c r="I244" s="142"/>
      <c r="J244" s="142"/>
      <c r="K244" s="142"/>
      <c r="L244" s="143"/>
      <c r="M244" s="24">
        <v>0</v>
      </c>
      <c r="N244" s="24">
        <v>0</v>
      </c>
      <c r="O244" s="127"/>
    </row>
    <row r="245" spans="1:17" ht="63.75" customHeight="1" x14ac:dyDescent="0.3">
      <c r="A245" s="161"/>
      <c r="B245" s="137"/>
      <c r="C245" s="127"/>
      <c r="D245" s="38" t="s">
        <v>18</v>
      </c>
      <c r="E245" s="24">
        <f>F245+G245+H245+M245+N245</f>
        <v>36232.871720000003</v>
      </c>
      <c r="F245" s="24">
        <f>F246+F250+F254</f>
        <v>100</v>
      </c>
      <c r="G245" s="24">
        <f>G246+G250+G254</f>
        <v>13945.846720000001</v>
      </c>
      <c r="H245" s="141">
        <f>H246+H250+H254</f>
        <v>10187.025</v>
      </c>
      <c r="I245" s="142"/>
      <c r="J245" s="142"/>
      <c r="K245" s="142"/>
      <c r="L245" s="143"/>
      <c r="M245" s="24">
        <f t="shared" ref="M245:N245" si="34">M246+M250+M254</f>
        <v>6000</v>
      </c>
      <c r="N245" s="24">
        <f t="shared" si="34"/>
        <v>6000</v>
      </c>
      <c r="O245" s="127"/>
    </row>
    <row r="246" spans="1:17" ht="89.25" customHeight="1" x14ac:dyDescent="0.3">
      <c r="A246" s="207" t="s">
        <v>32</v>
      </c>
      <c r="B246" s="38" t="s">
        <v>527</v>
      </c>
      <c r="C246" s="45" t="s">
        <v>67</v>
      </c>
      <c r="D246" s="38" t="s">
        <v>18</v>
      </c>
      <c r="E246" s="24">
        <f>F246+G246+H246+M246+N246</f>
        <v>15077.023999999999</v>
      </c>
      <c r="F246" s="24">
        <v>0</v>
      </c>
      <c r="G246" s="24">
        <f>7000-47.976</f>
        <v>6952.0240000000003</v>
      </c>
      <c r="H246" s="132">
        <f>2500+4550+1475-814.35-2867.12756-2718.52244</f>
        <v>2124.9999999999995</v>
      </c>
      <c r="I246" s="132"/>
      <c r="J246" s="132"/>
      <c r="K246" s="132"/>
      <c r="L246" s="132"/>
      <c r="M246" s="24">
        <v>3000</v>
      </c>
      <c r="N246" s="24">
        <v>3000</v>
      </c>
      <c r="O246" s="127" t="s">
        <v>17</v>
      </c>
    </row>
    <row r="247" spans="1:17" ht="21" customHeight="1" x14ac:dyDescent="0.3">
      <c r="A247" s="207"/>
      <c r="B247" s="137" t="s">
        <v>120</v>
      </c>
      <c r="C247" s="131" t="s">
        <v>101</v>
      </c>
      <c r="D247" s="131" t="s">
        <v>101</v>
      </c>
      <c r="E247" s="126" t="s">
        <v>102</v>
      </c>
      <c r="F247" s="126" t="s">
        <v>103</v>
      </c>
      <c r="G247" s="132" t="s">
        <v>501</v>
      </c>
      <c r="H247" s="132" t="s">
        <v>499</v>
      </c>
      <c r="I247" s="126" t="s">
        <v>332</v>
      </c>
      <c r="J247" s="126"/>
      <c r="K247" s="126"/>
      <c r="L247" s="126"/>
      <c r="M247" s="126" t="s">
        <v>105</v>
      </c>
      <c r="N247" s="126" t="s">
        <v>106</v>
      </c>
      <c r="O247" s="127"/>
    </row>
    <row r="248" spans="1:17" ht="21" customHeight="1" x14ac:dyDescent="0.3">
      <c r="A248" s="207"/>
      <c r="B248" s="137"/>
      <c r="C248" s="131"/>
      <c r="D248" s="131"/>
      <c r="E248" s="126"/>
      <c r="F248" s="126"/>
      <c r="G248" s="126"/>
      <c r="H248" s="126"/>
      <c r="I248" s="21" t="s">
        <v>327</v>
      </c>
      <c r="J248" s="21" t="s">
        <v>328</v>
      </c>
      <c r="K248" s="21" t="s">
        <v>329</v>
      </c>
      <c r="L248" s="21" t="s">
        <v>330</v>
      </c>
      <c r="M248" s="126"/>
      <c r="N248" s="126"/>
      <c r="O248" s="127"/>
    </row>
    <row r="249" spans="1:17" ht="21.75" customHeight="1" x14ac:dyDescent="0.3">
      <c r="A249" s="207"/>
      <c r="B249" s="137"/>
      <c r="C249" s="131"/>
      <c r="D249" s="131"/>
      <c r="E249" s="14">
        <v>5</v>
      </c>
      <c r="F249" s="14">
        <v>1</v>
      </c>
      <c r="G249" s="14">
        <v>1</v>
      </c>
      <c r="H249" s="14">
        <v>1</v>
      </c>
      <c r="I249" s="14">
        <v>0</v>
      </c>
      <c r="J249" s="14">
        <v>0</v>
      </c>
      <c r="K249" s="14">
        <v>0</v>
      </c>
      <c r="L249" s="14">
        <v>1</v>
      </c>
      <c r="M249" s="14">
        <v>1</v>
      </c>
      <c r="N249" s="14">
        <v>1</v>
      </c>
      <c r="O249" s="127"/>
    </row>
    <row r="250" spans="1:17" ht="89.25" customHeight="1" x14ac:dyDescent="0.3">
      <c r="A250" s="207" t="s">
        <v>571</v>
      </c>
      <c r="B250" s="38" t="s">
        <v>528</v>
      </c>
      <c r="C250" s="45" t="s">
        <v>67</v>
      </c>
      <c r="D250" s="38" t="s">
        <v>18</v>
      </c>
      <c r="E250" s="24">
        <f>F250+G250+H250+M250+N250</f>
        <v>7462.0249999999996</v>
      </c>
      <c r="F250" s="24">
        <v>0</v>
      </c>
      <c r="G250" s="24">
        <v>0</v>
      </c>
      <c r="H250" s="132">
        <f>1500+7000-1022-15.975</f>
        <v>7462.0249999999996</v>
      </c>
      <c r="I250" s="132"/>
      <c r="J250" s="132"/>
      <c r="K250" s="132"/>
      <c r="L250" s="132"/>
      <c r="M250" s="24">
        <v>0</v>
      </c>
      <c r="N250" s="24">
        <v>0</v>
      </c>
      <c r="O250" s="127" t="s">
        <v>30</v>
      </c>
    </row>
    <row r="251" spans="1:17" ht="23.25" customHeight="1" x14ac:dyDescent="0.3">
      <c r="A251" s="207"/>
      <c r="B251" s="137" t="s">
        <v>122</v>
      </c>
      <c r="C251" s="131" t="s">
        <v>101</v>
      </c>
      <c r="D251" s="131" t="s">
        <v>101</v>
      </c>
      <c r="E251" s="126" t="s">
        <v>102</v>
      </c>
      <c r="F251" s="126" t="s">
        <v>103</v>
      </c>
      <c r="G251" s="132" t="s">
        <v>501</v>
      </c>
      <c r="H251" s="132" t="s">
        <v>499</v>
      </c>
      <c r="I251" s="126" t="s">
        <v>332</v>
      </c>
      <c r="J251" s="126"/>
      <c r="K251" s="126"/>
      <c r="L251" s="126"/>
      <c r="M251" s="126" t="s">
        <v>105</v>
      </c>
      <c r="N251" s="126" t="s">
        <v>106</v>
      </c>
      <c r="O251" s="127"/>
    </row>
    <row r="252" spans="1:17" ht="23.25" customHeight="1" x14ac:dyDescent="0.3">
      <c r="A252" s="207"/>
      <c r="B252" s="137"/>
      <c r="C252" s="131"/>
      <c r="D252" s="131"/>
      <c r="E252" s="126"/>
      <c r="F252" s="126"/>
      <c r="G252" s="126"/>
      <c r="H252" s="126"/>
      <c r="I252" s="21" t="s">
        <v>327</v>
      </c>
      <c r="J252" s="21" t="s">
        <v>328</v>
      </c>
      <c r="K252" s="21" t="s">
        <v>329</v>
      </c>
      <c r="L252" s="21" t="s">
        <v>330</v>
      </c>
      <c r="M252" s="126"/>
      <c r="N252" s="126"/>
      <c r="O252" s="127"/>
      <c r="P252" s="46"/>
    </row>
    <row r="253" spans="1:17" ht="39.75" customHeight="1" x14ac:dyDescent="0.3">
      <c r="A253" s="207"/>
      <c r="B253" s="137"/>
      <c r="C253" s="131"/>
      <c r="D253" s="131"/>
      <c r="E253" s="14">
        <v>5</v>
      </c>
      <c r="F253" s="14">
        <v>1</v>
      </c>
      <c r="G253" s="14">
        <v>1</v>
      </c>
      <c r="H253" s="14">
        <v>1</v>
      </c>
      <c r="I253" s="14">
        <v>0</v>
      </c>
      <c r="J253" s="14">
        <v>0</v>
      </c>
      <c r="K253" s="14">
        <v>0</v>
      </c>
      <c r="L253" s="14">
        <v>1</v>
      </c>
      <c r="M253" s="14">
        <v>1</v>
      </c>
      <c r="N253" s="14">
        <v>1</v>
      </c>
      <c r="O253" s="127"/>
    </row>
    <row r="254" spans="1:17" ht="118.5" customHeight="1" x14ac:dyDescent="0.3">
      <c r="A254" s="207" t="s">
        <v>572</v>
      </c>
      <c r="B254" s="38" t="s">
        <v>529</v>
      </c>
      <c r="C254" s="45" t="s">
        <v>67</v>
      </c>
      <c r="D254" s="38" t="s">
        <v>18</v>
      </c>
      <c r="E254" s="24">
        <f>F254+G254+H254+M254+N254</f>
        <v>13693.82272</v>
      </c>
      <c r="F254" s="24">
        <v>100</v>
      </c>
      <c r="G254" s="24">
        <f>7000-6.17728</f>
        <v>6993.8227200000001</v>
      </c>
      <c r="H254" s="141">
        <f>2500+4500+17- 10.14556-141.73696-264.4-225.16-2112.53762-3663.01986</f>
        <v>600.00000000000045</v>
      </c>
      <c r="I254" s="142"/>
      <c r="J254" s="142"/>
      <c r="K254" s="142"/>
      <c r="L254" s="143"/>
      <c r="M254" s="24">
        <v>3000</v>
      </c>
      <c r="N254" s="24">
        <v>3000</v>
      </c>
      <c r="O254" s="127" t="s">
        <v>30</v>
      </c>
    </row>
    <row r="255" spans="1:17" ht="20.25" customHeight="1" x14ac:dyDescent="0.3">
      <c r="A255" s="207"/>
      <c r="B255" s="137" t="s">
        <v>121</v>
      </c>
      <c r="C255" s="131" t="s">
        <v>101</v>
      </c>
      <c r="D255" s="131" t="s">
        <v>101</v>
      </c>
      <c r="E255" s="126" t="s">
        <v>102</v>
      </c>
      <c r="F255" s="126" t="s">
        <v>103</v>
      </c>
      <c r="G255" s="139" t="s">
        <v>501</v>
      </c>
      <c r="H255" s="132" t="s">
        <v>499</v>
      </c>
      <c r="I255" s="133" t="s">
        <v>332</v>
      </c>
      <c r="J255" s="134"/>
      <c r="K255" s="134"/>
      <c r="L255" s="135"/>
      <c r="M255" s="126" t="s">
        <v>105</v>
      </c>
      <c r="N255" s="126" t="s">
        <v>106</v>
      </c>
      <c r="O255" s="127"/>
      <c r="Q255" s="46"/>
    </row>
    <row r="256" spans="1:17" ht="24" customHeight="1" x14ac:dyDescent="0.3">
      <c r="A256" s="207"/>
      <c r="B256" s="137"/>
      <c r="C256" s="131"/>
      <c r="D256" s="131"/>
      <c r="E256" s="126"/>
      <c r="F256" s="126"/>
      <c r="G256" s="140"/>
      <c r="H256" s="126"/>
      <c r="I256" s="23" t="s">
        <v>327</v>
      </c>
      <c r="J256" s="23" t="s">
        <v>328</v>
      </c>
      <c r="K256" s="23" t="s">
        <v>329</v>
      </c>
      <c r="L256" s="23" t="s">
        <v>330</v>
      </c>
      <c r="M256" s="126"/>
      <c r="N256" s="126"/>
      <c r="O256" s="127"/>
    </row>
    <row r="257" spans="1:16" ht="47.25" customHeight="1" x14ac:dyDescent="0.3">
      <c r="A257" s="207"/>
      <c r="B257" s="137"/>
      <c r="C257" s="131"/>
      <c r="D257" s="131"/>
      <c r="E257" s="14">
        <v>5</v>
      </c>
      <c r="F257" s="14">
        <v>1</v>
      </c>
      <c r="G257" s="14">
        <v>1</v>
      </c>
      <c r="H257" s="14">
        <v>1</v>
      </c>
      <c r="I257" s="14">
        <v>0</v>
      </c>
      <c r="J257" s="14">
        <v>0</v>
      </c>
      <c r="K257" s="14">
        <v>0</v>
      </c>
      <c r="L257" s="14">
        <v>1</v>
      </c>
      <c r="M257" s="14">
        <v>1</v>
      </c>
      <c r="N257" s="14">
        <v>1</v>
      </c>
      <c r="O257" s="127"/>
      <c r="P257" s="47"/>
    </row>
    <row r="258" spans="1:16" ht="23.25" customHeight="1" x14ac:dyDescent="0.3">
      <c r="A258" s="161" t="s">
        <v>188</v>
      </c>
      <c r="B258" s="137" t="s">
        <v>524</v>
      </c>
      <c r="C258" s="161" t="s">
        <v>67</v>
      </c>
      <c r="D258" s="38" t="s">
        <v>14</v>
      </c>
      <c r="E258" s="21">
        <f>SUM(E260:E262)</f>
        <v>0</v>
      </c>
      <c r="F258" s="21">
        <f>SUM(F260:F262)</f>
        <v>0</v>
      </c>
      <c r="G258" s="21">
        <f>SUM(G260:G262)</f>
        <v>0</v>
      </c>
      <c r="H258" s="133">
        <f>SUM(H260:H262)</f>
        <v>0</v>
      </c>
      <c r="I258" s="134"/>
      <c r="J258" s="134"/>
      <c r="K258" s="134"/>
      <c r="L258" s="135"/>
      <c r="M258" s="21">
        <f>SUM(M261:M262)</f>
        <v>0</v>
      </c>
      <c r="N258" s="21">
        <f>SUM(N261:N262)</f>
        <v>0</v>
      </c>
      <c r="O258" s="127"/>
    </row>
    <row r="259" spans="1:16" ht="23.25" customHeight="1" x14ac:dyDescent="0.3">
      <c r="A259" s="161"/>
      <c r="B259" s="137"/>
      <c r="C259" s="161"/>
      <c r="D259" s="38" t="s">
        <v>9</v>
      </c>
      <c r="E259" s="21">
        <v>0</v>
      </c>
      <c r="F259" s="21">
        <v>0</v>
      </c>
      <c r="G259" s="21">
        <v>0</v>
      </c>
      <c r="H259" s="133">
        <v>0</v>
      </c>
      <c r="I259" s="134"/>
      <c r="J259" s="134"/>
      <c r="K259" s="134"/>
      <c r="L259" s="135"/>
      <c r="M259" s="21">
        <v>0</v>
      </c>
      <c r="N259" s="21">
        <v>0</v>
      </c>
      <c r="O259" s="127"/>
    </row>
    <row r="260" spans="1:16" ht="36" customHeight="1" x14ac:dyDescent="0.3">
      <c r="A260" s="161"/>
      <c r="B260" s="137"/>
      <c r="C260" s="161"/>
      <c r="D260" s="38" t="s">
        <v>10</v>
      </c>
      <c r="E260" s="21">
        <f>F260+G260+H260+M260+N260</f>
        <v>0</v>
      </c>
      <c r="F260" s="21">
        <v>0</v>
      </c>
      <c r="G260" s="21">
        <v>0</v>
      </c>
      <c r="H260" s="133">
        <v>0</v>
      </c>
      <c r="I260" s="134"/>
      <c r="J260" s="134"/>
      <c r="K260" s="134"/>
      <c r="L260" s="135"/>
      <c r="M260" s="21">
        <v>0</v>
      </c>
      <c r="N260" s="21">
        <v>0</v>
      </c>
      <c r="O260" s="127"/>
    </row>
    <row r="261" spans="1:16" ht="35.25" customHeight="1" x14ac:dyDescent="0.3">
      <c r="A261" s="161"/>
      <c r="B261" s="137"/>
      <c r="C261" s="161"/>
      <c r="D261" s="38" t="s">
        <v>18</v>
      </c>
      <c r="E261" s="21">
        <f>SUM(F261:N261)</f>
        <v>0</v>
      </c>
      <c r="F261" s="21">
        <f>F266</f>
        <v>0</v>
      </c>
      <c r="G261" s="21">
        <f t="shared" ref="G261:H261" si="35">G266</f>
        <v>0</v>
      </c>
      <c r="H261" s="133">
        <f t="shared" si="35"/>
        <v>0</v>
      </c>
      <c r="I261" s="134"/>
      <c r="J261" s="134"/>
      <c r="K261" s="134"/>
      <c r="L261" s="135"/>
      <c r="M261" s="21">
        <f t="shared" ref="M261:N261" si="36">M266</f>
        <v>0</v>
      </c>
      <c r="N261" s="21">
        <f t="shared" si="36"/>
        <v>0</v>
      </c>
      <c r="O261" s="214"/>
    </row>
    <row r="262" spans="1:16" ht="24.75" customHeight="1" x14ac:dyDescent="0.3">
      <c r="A262" s="161"/>
      <c r="B262" s="137"/>
      <c r="C262" s="161"/>
      <c r="D262" s="38" t="s">
        <v>12</v>
      </c>
      <c r="E262" s="21">
        <f>SUM(F262:N262)</f>
        <v>0</v>
      </c>
      <c r="F262" s="21">
        <v>0</v>
      </c>
      <c r="G262" s="21">
        <v>0</v>
      </c>
      <c r="H262" s="133">
        <v>0</v>
      </c>
      <c r="I262" s="134"/>
      <c r="J262" s="134"/>
      <c r="K262" s="134"/>
      <c r="L262" s="135"/>
      <c r="M262" s="21">
        <v>0</v>
      </c>
      <c r="N262" s="21">
        <v>0</v>
      </c>
      <c r="O262" s="214"/>
    </row>
    <row r="263" spans="1:16" ht="24.75" customHeight="1" x14ac:dyDescent="0.3">
      <c r="A263" s="146" t="s">
        <v>348</v>
      </c>
      <c r="B263" s="128" t="s">
        <v>508</v>
      </c>
      <c r="C263" s="153" t="s">
        <v>67</v>
      </c>
      <c r="D263" s="38" t="s">
        <v>14</v>
      </c>
      <c r="E263" s="21">
        <v>0</v>
      </c>
      <c r="F263" s="21">
        <v>0</v>
      </c>
      <c r="G263" s="21">
        <v>0</v>
      </c>
      <c r="H263" s="133">
        <v>0</v>
      </c>
      <c r="I263" s="134"/>
      <c r="J263" s="134"/>
      <c r="K263" s="134"/>
      <c r="L263" s="135"/>
      <c r="M263" s="21">
        <v>0</v>
      </c>
      <c r="N263" s="21">
        <v>0</v>
      </c>
      <c r="O263" s="153" t="s">
        <v>17</v>
      </c>
    </row>
    <row r="264" spans="1:16" ht="24.75" customHeight="1" x14ac:dyDescent="0.3">
      <c r="A264" s="147"/>
      <c r="B264" s="129"/>
      <c r="C264" s="154"/>
      <c r="D264" s="38" t="s">
        <v>9</v>
      </c>
      <c r="E264" s="21">
        <v>0</v>
      </c>
      <c r="F264" s="21">
        <v>0</v>
      </c>
      <c r="G264" s="21">
        <v>0</v>
      </c>
      <c r="H264" s="133">
        <v>0</v>
      </c>
      <c r="I264" s="134"/>
      <c r="J264" s="134"/>
      <c r="K264" s="134"/>
      <c r="L264" s="135"/>
      <c r="M264" s="21">
        <v>0</v>
      </c>
      <c r="N264" s="21">
        <v>0</v>
      </c>
      <c r="O264" s="154"/>
    </row>
    <row r="265" spans="1:16" ht="36.75" customHeight="1" x14ac:dyDescent="0.3">
      <c r="A265" s="147"/>
      <c r="B265" s="129"/>
      <c r="C265" s="154"/>
      <c r="D265" s="38" t="s">
        <v>10</v>
      </c>
      <c r="E265" s="21">
        <v>0</v>
      </c>
      <c r="F265" s="21">
        <v>0</v>
      </c>
      <c r="G265" s="21">
        <v>0</v>
      </c>
      <c r="H265" s="133">
        <v>0</v>
      </c>
      <c r="I265" s="134"/>
      <c r="J265" s="134"/>
      <c r="K265" s="134"/>
      <c r="L265" s="135"/>
      <c r="M265" s="21">
        <v>0</v>
      </c>
      <c r="N265" s="21">
        <v>0</v>
      </c>
      <c r="O265" s="154"/>
    </row>
    <row r="266" spans="1:16" ht="47.25" customHeight="1" x14ac:dyDescent="0.3">
      <c r="A266" s="147"/>
      <c r="B266" s="129"/>
      <c r="C266" s="154"/>
      <c r="D266" s="38" t="s">
        <v>18</v>
      </c>
      <c r="E266" s="24">
        <f>F266+G266+H266+M266+N266</f>
        <v>0</v>
      </c>
      <c r="F266" s="24">
        <v>0</v>
      </c>
      <c r="G266" s="24">
        <v>0</v>
      </c>
      <c r="H266" s="141">
        <v>0</v>
      </c>
      <c r="I266" s="142"/>
      <c r="J266" s="142"/>
      <c r="K266" s="142"/>
      <c r="L266" s="143"/>
      <c r="M266" s="24">
        <v>0</v>
      </c>
      <c r="N266" s="24">
        <v>0</v>
      </c>
      <c r="O266" s="154"/>
      <c r="P266" s="48"/>
    </row>
    <row r="267" spans="1:16" ht="30" customHeight="1" x14ac:dyDescent="0.3">
      <c r="A267" s="147"/>
      <c r="B267" s="130"/>
      <c r="C267" s="155"/>
      <c r="D267" s="38" t="s">
        <v>12</v>
      </c>
      <c r="E267" s="24">
        <v>0</v>
      </c>
      <c r="F267" s="24">
        <v>0</v>
      </c>
      <c r="G267" s="27">
        <v>0</v>
      </c>
      <c r="H267" s="141">
        <v>0</v>
      </c>
      <c r="I267" s="142"/>
      <c r="J267" s="142"/>
      <c r="K267" s="142"/>
      <c r="L267" s="143"/>
      <c r="M267" s="24">
        <v>0</v>
      </c>
      <c r="N267" s="24">
        <v>0</v>
      </c>
      <c r="O267" s="154"/>
      <c r="P267" s="48"/>
    </row>
    <row r="268" spans="1:16" ht="42.75" customHeight="1" x14ac:dyDescent="0.3">
      <c r="A268" s="147"/>
      <c r="B268" s="137" t="s">
        <v>516</v>
      </c>
      <c r="C268" s="131" t="s">
        <v>101</v>
      </c>
      <c r="D268" s="131" t="s">
        <v>101</v>
      </c>
      <c r="E268" s="126" t="s">
        <v>102</v>
      </c>
      <c r="F268" s="126" t="s">
        <v>103</v>
      </c>
      <c r="G268" s="139" t="s">
        <v>501</v>
      </c>
      <c r="H268" s="132" t="s">
        <v>499</v>
      </c>
      <c r="I268" s="133" t="s">
        <v>332</v>
      </c>
      <c r="J268" s="134"/>
      <c r="K268" s="134"/>
      <c r="L268" s="135"/>
      <c r="M268" s="126" t="s">
        <v>105</v>
      </c>
      <c r="N268" s="126" t="s">
        <v>106</v>
      </c>
      <c r="O268" s="154"/>
    </row>
    <row r="269" spans="1:16" ht="42.75" customHeight="1" x14ac:dyDescent="0.3">
      <c r="A269" s="147"/>
      <c r="B269" s="137"/>
      <c r="C269" s="131"/>
      <c r="D269" s="131"/>
      <c r="E269" s="126"/>
      <c r="F269" s="126"/>
      <c r="G269" s="140"/>
      <c r="H269" s="126"/>
      <c r="I269" s="23" t="s">
        <v>327</v>
      </c>
      <c r="J269" s="23" t="s">
        <v>328</v>
      </c>
      <c r="K269" s="23" t="s">
        <v>329</v>
      </c>
      <c r="L269" s="23" t="s">
        <v>330</v>
      </c>
      <c r="M269" s="126"/>
      <c r="N269" s="126"/>
      <c r="O269" s="154"/>
    </row>
    <row r="270" spans="1:16" ht="43.5" customHeight="1" x14ac:dyDescent="0.3">
      <c r="A270" s="148"/>
      <c r="B270" s="137"/>
      <c r="C270" s="131"/>
      <c r="D270" s="131"/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55"/>
    </row>
    <row r="271" spans="1:16" ht="32.25" customHeight="1" x14ac:dyDescent="0.3">
      <c r="A271" s="146" t="s">
        <v>349</v>
      </c>
      <c r="B271" s="128" t="s">
        <v>509</v>
      </c>
      <c r="C271" s="153" t="s">
        <v>67</v>
      </c>
      <c r="D271" s="38" t="s">
        <v>14</v>
      </c>
      <c r="E271" s="14">
        <v>0</v>
      </c>
      <c r="F271" s="14">
        <v>0</v>
      </c>
      <c r="G271" s="14">
        <v>0</v>
      </c>
      <c r="H271" s="183">
        <v>0</v>
      </c>
      <c r="I271" s="184"/>
      <c r="J271" s="184"/>
      <c r="K271" s="184"/>
      <c r="L271" s="185"/>
      <c r="M271" s="14">
        <v>0</v>
      </c>
      <c r="N271" s="14">
        <v>0</v>
      </c>
      <c r="O271" s="153" t="s">
        <v>17</v>
      </c>
    </row>
    <row r="272" spans="1:16" ht="28.5" customHeight="1" x14ac:dyDescent="0.3">
      <c r="A272" s="147"/>
      <c r="B272" s="129"/>
      <c r="C272" s="154"/>
      <c r="D272" s="38" t="s">
        <v>9</v>
      </c>
      <c r="E272" s="14">
        <v>0</v>
      </c>
      <c r="F272" s="14">
        <v>0</v>
      </c>
      <c r="G272" s="14">
        <v>0</v>
      </c>
      <c r="H272" s="183">
        <v>0</v>
      </c>
      <c r="I272" s="184"/>
      <c r="J272" s="184"/>
      <c r="K272" s="184"/>
      <c r="L272" s="185"/>
      <c r="M272" s="14">
        <v>0</v>
      </c>
      <c r="N272" s="14">
        <v>0</v>
      </c>
      <c r="O272" s="154"/>
    </row>
    <row r="273" spans="1:16" ht="36" customHeight="1" x14ac:dyDescent="0.3">
      <c r="A273" s="147"/>
      <c r="B273" s="129"/>
      <c r="C273" s="154"/>
      <c r="D273" s="38" t="s">
        <v>10</v>
      </c>
      <c r="E273" s="14">
        <v>0</v>
      </c>
      <c r="F273" s="14">
        <v>0</v>
      </c>
      <c r="G273" s="14">
        <v>0</v>
      </c>
      <c r="H273" s="183">
        <v>0</v>
      </c>
      <c r="I273" s="184"/>
      <c r="J273" s="184"/>
      <c r="K273" s="184"/>
      <c r="L273" s="185"/>
      <c r="M273" s="14">
        <v>0</v>
      </c>
      <c r="N273" s="14">
        <v>0</v>
      </c>
      <c r="O273" s="154"/>
    </row>
    <row r="274" spans="1:16" ht="38.25" customHeight="1" x14ac:dyDescent="0.3">
      <c r="A274" s="147"/>
      <c r="B274" s="129"/>
      <c r="C274" s="154"/>
      <c r="D274" s="38" t="s">
        <v>18</v>
      </c>
      <c r="E274" s="14">
        <v>0</v>
      </c>
      <c r="F274" s="14">
        <v>0</v>
      </c>
      <c r="G274" s="14">
        <v>0</v>
      </c>
      <c r="H274" s="183">
        <v>0</v>
      </c>
      <c r="I274" s="184"/>
      <c r="J274" s="184"/>
      <c r="K274" s="184"/>
      <c r="L274" s="185"/>
      <c r="M274" s="14">
        <v>0</v>
      </c>
      <c r="N274" s="14">
        <v>0</v>
      </c>
      <c r="O274" s="154"/>
    </row>
    <row r="275" spans="1:16" ht="31.5" customHeight="1" x14ac:dyDescent="0.3">
      <c r="A275" s="147"/>
      <c r="B275" s="130"/>
      <c r="C275" s="155"/>
      <c r="D275" s="38" t="s">
        <v>12</v>
      </c>
      <c r="E275" s="24">
        <f>F275+G275+H275+M275+N275</f>
        <v>0</v>
      </c>
      <c r="F275" s="24">
        <v>0</v>
      </c>
      <c r="G275" s="24">
        <v>0</v>
      </c>
      <c r="H275" s="141">
        <v>0</v>
      </c>
      <c r="I275" s="142"/>
      <c r="J275" s="142"/>
      <c r="K275" s="142"/>
      <c r="L275" s="143"/>
      <c r="M275" s="24">
        <v>0</v>
      </c>
      <c r="N275" s="24">
        <v>0</v>
      </c>
      <c r="O275" s="154"/>
      <c r="P275" s="48"/>
    </row>
    <row r="276" spans="1:16" ht="32.25" customHeight="1" x14ac:dyDescent="0.3">
      <c r="A276" s="147"/>
      <c r="B276" s="137" t="s">
        <v>515</v>
      </c>
      <c r="C276" s="131" t="s">
        <v>101</v>
      </c>
      <c r="D276" s="131" t="s">
        <v>101</v>
      </c>
      <c r="E276" s="126" t="s">
        <v>102</v>
      </c>
      <c r="F276" s="126" t="s">
        <v>103</v>
      </c>
      <c r="G276" s="139" t="s">
        <v>501</v>
      </c>
      <c r="H276" s="132" t="s">
        <v>499</v>
      </c>
      <c r="I276" s="133" t="s">
        <v>332</v>
      </c>
      <c r="J276" s="134"/>
      <c r="K276" s="134"/>
      <c r="L276" s="135"/>
      <c r="M276" s="126" t="s">
        <v>105</v>
      </c>
      <c r="N276" s="126" t="s">
        <v>106</v>
      </c>
      <c r="O276" s="154"/>
    </row>
    <row r="277" spans="1:16" ht="37.5" customHeight="1" x14ac:dyDescent="0.3">
      <c r="A277" s="147"/>
      <c r="B277" s="137"/>
      <c r="C277" s="131"/>
      <c r="D277" s="131"/>
      <c r="E277" s="126"/>
      <c r="F277" s="126"/>
      <c r="G277" s="140"/>
      <c r="H277" s="126"/>
      <c r="I277" s="23" t="s">
        <v>327</v>
      </c>
      <c r="J277" s="23" t="s">
        <v>328</v>
      </c>
      <c r="K277" s="23" t="s">
        <v>329</v>
      </c>
      <c r="L277" s="23" t="s">
        <v>330</v>
      </c>
      <c r="M277" s="126"/>
      <c r="N277" s="126"/>
      <c r="O277" s="154"/>
    </row>
    <row r="278" spans="1:16" ht="36" customHeight="1" x14ac:dyDescent="0.3">
      <c r="A278" s="148"/>
      <c r="B278" s="137"/>
      <c r="C278" s="131"/>
      <c r="D278" s="131"/>
      <c r="E278" s="14">
        <v>0</v>
      </c>
      <c r="F278" s="14">
        <v>0</v>
      </c>
      <c r="G278" s="14">
        <v>0</v>
      </c>
      <c r="H278" s="14">
        <v>0</v>
      </c>
      <c r="I278" s="14">
        <v>0</v>
      </c>
      <c r="J278" s="14">
        <v>0</v>
      </c>
      <c r="K278" s="14">
        <v>0</v>
      </c>
      <c r="L278" s="14">
        <v>0</v>
      </c>
      <c r="M278" s="14">
        <v>0</v>
      </c>
      <c r="N278" s="14">
        <v>0</v>
      </c>
      <c r="O278" s="155"/>
    </row>
    <row r="279" spans="1:16" ht="27.75" customHeight="1" x14ac:dyDescent="0.3">
      <c r="A279" s="182"/>
      <c r="B279" s="181" t="s">
        <v>316</v>
      </c>
      <c r="C279" s="161"/>
      <c r="D279" s="49" t="s">
        <v>317</v>
      </c>
      <c r="E279" s="16">
        <f t="shared" ref="E279:N279" si="37">SUM(E281:E283)</f>
        <v>8062333.6018099999</v>
      </c>
      <c r="F279" s="16">
        <f>F281+F282+F283</f>
        <v>161844.41252000001</v>
      </c>
      <c r="G279" s="16">
        <f>SUM(G281:G283)</f>
        <v>1320163.1375299999</v>
      </c>
      <c r="H279" s="149">
        <f>SUM(H281:H283)</f>
        <v>3693489.5244399998</v>
      </c>
      <c r="I279" s="150"/>
      <c r="J279" s="150"/>
      <c r="K279" s="150"/>
      <c r="L279" s="151"/>
      <c r="M279" s="16">
        <f t="shared" si="37"/>
        <v>1714455.7473200001</v>
      </c>
      <c r="N279" s="16">
        <f t="shared" si="37"/>
        <v>1172380.78</v>
      </c>
      <c r="O279" s="127"/>
    </row>
    <row r="280" spans="1:16" ht="34.5" customHeight="1" x14ac:dyDescent="0.3">
      <c r="A280" s="182"/>
      <c r="B280" s="181"/>
      <c r="C280" s="161"/>
      <c r="D280" s="49" t="s">
        <v>9</v>
      </c>
      <c r="E280" s="16">
        <v>0</v>
      </c>
      <c r="F280" s="16">
        <v>0</v>
      </c>
      <c r="G280" s="16">
        <v>0</v>
      </c>
      <c r="H280" s="149">
        <v>0</v>
      </c>
      <c r="I280" s="150"/>
      <c r="J280" s="150"/>
      <c r="K280" s="150"/>
      <c r="L280" s="151"/>
      <c r="M280" s="16">
        <v>0</v>
      </c>
      <c r="N280" s="16">
        <v>0</v>
      </c>
      <c r="O280" s="127"/>
    </row>
    <row r="281" spans="1:16" ht="34.5" customHeight="1" x14ac:dyDescent="0.3">
      <c r="A281" s="182"/>
      <c r="B281" s="181"/>
      <c r="C281" s="161"/>
      <c r="D281" s="40" t="s">
        <v>10</v>
      </c>
      <c r="E281" s="16">
        <f>SUM(F281:N281)</f>
        <v>5197509.25</v>
      </c>
      <c r="F281" s="16">
        <f>F229+F118+F165</f>
        <v>81852.08</v>
      </c>
      <c r="G281" s="16">
        <f>G229+G118+G165</f>
        <v>791536.89</v>
      </c>
      <c r="H281" s="149">
        <f>H229+H118+H165</f>
        <v>2349663.33</v>
      </c>
      <c r="I281" s="150"/>
      <c r="J281" s="150"/>
      <c r="K281" s="150"/>
      <c r="L281" s="151"/>
      <c r="M281" s="16">
        <f>M229+M118+M165</f>
        <v>1223695.94</v>
      </c>
      <c r="N281" s="16">
        <f>N229+N118+N165</f>
        <v>750761.01</v>
      </c>
      <c r="O281" s="127"/>
    </row>
    <row r="282" spans="1:16" ht="37.5" customHeight="1" x14ac:dyDescent="0.3">
      <c r="A282" s="182"/>
      <c r="B282" s="181"/>
      <c r="C282" s="161"/>
      <c r="D282" s="49" t="s">
        <v>18</v>
      </c>
      <c r="E282" s="16">
        <f>SUM(F282:N282)</f>
        <v>2864824.3518099999</v>
      </c>
      <c r="F282" s="16">
        <f>F230+F119+F166+F245</f>
        <v>79992.332519999996</v>
      </c>
      <c r="G282" s="16">
        <f>G230+G119+G166+G245</f>
        <v>528626.24753000005</v>
      </c>
      <c r="H282" s="149">
        <f>H230+H119+H166+H243</f>
        <v>1343826.19444</v>
      </c>
      <c r="I282" s="150"/>
      <c r="J282" s="150"/>
      <c r="K282" s="150"/>
      <c r="L282" s="151"/>
      <c r="M282" s="16">
        <f>M230+M119+M166+M243</f>
        <v>490759.80732000002</v>
      </c>
      <c r="N282" s="16">
        <f>N230+N119+N166+N243</f>
        <v>421619.77</v>
      </c>
      <c r="O282" s="127"/>
    </row>
    <row r="283" spans="1:16" ht="31.5" customHeight="1" x14ac:dyDescent="0.3">
      <c r="A283" s="182"/>
      <c r="B283" s="181"/>
      <c r="C283" s="161"/>
      <c r="D283" s="49" t="s">
        <v>12</v>
      </c>
      <c r="E283" s="16">
        <f>SUM(F283:N283)</f>
        <v>0</v>
      </c>
      <c r="F283" s="16">
        <f>F167</f>
        <v>0</v>
      </c>
      <c r="G283" s="16">
        <f>G167</f>
        <v>0</v>
      </c>
      <c r="H283" s="149">
        <f t="shared" ref="H283:L283" si="38">H167</f>
        <v>0</v>
      </c>
      <c r="I283" s="150">
        <f t="shared" si="38"/>
        <v>0</v>
      </c>
      <c r="J283" s="150">
        <f t="shared" si="38"/>
        <v>0</v>
      </c>
      <c r="K283" s="150">
        <f t="shared" si="38"/>
        <v>0</v>
      </c>
      <c r="L283" s="151">
        <f t="shared" si="38"/>
        <v>0</v>
      </c>
      <c r="M283" s="16">
        <f>M167</f>
        <v>0</v>
      </c>
      <c r="N283" s="16">
        <f>N167</f>
        <v>0</v>
      </c>
      <c r="O283" s="127"/>
    </row>
    <row r="284" spans="1:16" ht="24.75" customHeight="1" x14ac:dyDescent="0.3">
      <c r="A284" s="177" t="s">
        <v>134</v>
      </c>
      <c r="B284" s="177"/>
      <c r="C284" s="177"/>
      <c r="D284" s="177"/>
      <c r="E284" s="177"/>
      <c r="F284" s="177"/>
      <c r="G284" s="177"/>
      <c r="H284" s="177"/>
      <c r="I284" s="177"/>
      <c r="J284" s="177"/>
      <c r="K284" s="177"/>
      <c r="L284" s="177"/>
      <c r="M284" s="177"/>
      <c r="N284" s="177"/>
      <c r="O284" s="177"/>
    </row>
    <row r="285" spans="1:16" ht="33" customHeight="1" x14ac:dyDescent="0.3">
      <c r="A285" s="182" t="s">
        <v>6</v>
      </c>
      <c r="B285" s="137" t="s">
        <v>80</v>
      </c>
      <c r="C285" s="161" t="s">
        <v>67</v>
      </c>
      <c r="D285" s="38" t="s">
        <v>14</v>
      </c>
      <c r="E285" s="24">
        <f>E286+E287+E288</f>
        <v>0</v>
      </c>
      <c r="F285" s="24">
        <f t="shared" ref="F285:N285" si="39">F286+F287+F288</f>
        <v>0</v>
      </c>
      <c r="G285" s="25">
        <f t="shared" si="39"/>
        <v>0</v>
      </c>
      <c r="H285" s="141">
        <f t="shared" si="39"/>
        <v>0</v>
      </c>
      <c r="I285" s="142"/>
      <c r="J285" s="142"/>
      <c r="K285" s="142"/>
      <c r="L285" s="143"/>
      <c r="M285" s="24">
        <f t="shared" si="39"/>
        <v>0</v>
      </c>
      <c r="N285" s="24">
        <f t="shared" si="39"/>
        <v>0</v>
      </c>
      <c r="O285" s="127"/>
    </row>
    <row r="286" spans="1:16" ht="33" customHeight="1" x14ac:dyDescent="0.3">
      <c r="A286" s="182"/>
      <c r="B286" s="137"/>
      <c r="C286" s="161"/>
      <c r="D286" s="38" t="s">
        <v>10</v>
      </c>
      <c r="E286" s="24">
        <f>F286+G286+H286+M286+N286</f>
        <v>0</v>
      </c>
      <c r="F286" s="24">
        <f>F290</f>
        <v>0</v>
      </c>
      <c r="G286" s="25">
        <f t="shared" ref="G286:N286" si="40">G290</f>
        <v>0</v>
      </c>
      <c r="H286" s="141">
        <f t="shared" si="40"/>
        <v>0</v>
      </c>
      <c r="I286" s="142"/>
      <c r="J286" s="142"/>
      <c r="K286" s="142"/>
      <c r="L286" s="143"/>
      <c r="M286" s="24">
        <f t="shared" si="40"/>
        <v>0</v>
      </c>
      <c r="N286" s="24">
        <f t="shared" si="40"/>
        <v>0</v>
      </c>
      <c r="O286" s="127"/>
    </row>
    <row r="287" spans="1:16" ht="33" customHeight="1" x14ac:dyDescent="0.3">
      <c r="A287" s="182"/>
      <c r="B287" s="137"/>
      <c r="C287" s="161"/>
      <c r="D287" s="38" t="s">
        <v>18</v>
      </c>
      <c r="E287" s="24">
        <f>F287+G287+H287+M287+N287</f>
        <v>0</v>
      </c>
      <c r="F287" s="24">
        <f>F291</f>
        <v>0</v>
      </c>
      <c r="G287" s="25">
        <f t="shared" ref="G287:N287" si="41">G291</f>
        <v>0</v>
      </c>
      <c r="H287" s="141">
        <f t="shared" si="41"/>
        <v>0</v>
      </c>
      <c r="I287" s="142"/>
      <c r="J287" s="142"/>
      <c r="K287" s="142"/>
      <c r="L287" s="143"/>
      <c r="M287" s="24">
        <f t="shared" si="41"/>
        <v>0</v>
      </c>
      <c r="N287" s="24">
        <f t="shared" si="41"/>
        <v>0</v>
      </c>
      <c r="O287" s="127"/>
    </row>
    <row r="288" spans="1:16" ht="33" customHeight="1" x14ac:dyDescent="0.3">
      <c r="A288" s="182"/>
      <c r="B288" s="137"/>
      <c r="C288" s="161"/>
      <c r="D288" s="38" t="s">
        <v>12</v>
      </c>
      <c r="E288" s="24">
        <f>F288+G288+H288+M288+N288</f>
        <v>0</v>
      </c>
      <c r="F288" s="24">
        <f>F292</f>
        <v>0</v>
      </c>
      <c r="G288" s="25">
        <f t="shared" ref="G288:N288" si="42">G292</f>
        <v>0</v>
      </c>
      <c r="H288" s="141">
        <f t="shared" si="42"/>
        <v>0</v>
      </c>
      <c r="I288" s="142"/>
      <c r="J288" s="142"/>
      <c r="K288" s="142"/>
      <c r="L288" s="143"/>
      <c r="M288" s="24">
        <f t="shared" si="42"/>
        <v>0</v>
      </c>
      <c r="N288" s="24">
        <f t="shared" si="42"/>
        <v>0</v>
      </c>
      <c r="O288" s="127"/>
    </row>
    <row r="289" spans="1:15" ht="21.75" customHeight="1" x14ac:dyDescent="0.3">
      <c r="A289" s="182" t="s">
        <v>13</v>
      </c>
      <c r="B289" s="137" t="s">
        <v>81</v>
      </c>
      <c r="C289" s="161" t="s">
        <v>67</v>
      </c>
      <c r="D289" s="38" t="s">
        <v>14</v>
      </c>
      <c r="E289" s="24">
        <f>E290+E291+E292</f>
        <v>0</v>
      </c>
      <c r="F289" s="24">
        <f t="shared" ref="F289:N289" si="43">F290+F291+F292</f>
        <v>0</v>
      </c>
      <c r="G289" s="24">
        <f t="shared" si="43"/>
        <v>0</v>
      </c>
      <c r="H289" s="141">
        <f t="shared" si="43"/>
        <v>0</v>
      </c>
      <c r="I289" s="142"/>
      <c r="J289" s="142"/>
      <c r="K289" s="142"/>
      <c r="L289" s="143"/>
      <c r="M289" s="24">
        <f t="shared" si="43"/>
        <v>0</v>
      </c>
      <c r="N289" s="24">
        <f t="shared" si="43"/>
        <v>0</v>
      </c>
      <c r="O289" s="127" t="s">
        <v>30</v>
      </c>
    </row>
    <row r="290" spans="1:15" ht="32.25" customHeight="1" x14ac:dyDescent="0.3">
      <c r="A290" s="182"/>
      <c r="B290" s="137"/>
      <c r="C290" s="161"/>
      <c r="D290" s="38" t="s">
        <v>10</v>
      </c>
      <c r="E290" s="24">
        <f>F290+G290+H290+M290+N290</f>
        <v>0</v>
      </c>
      <c r="F290" s="24">
        <v>0</v>
      </c>
      <c r="G290" s="24">
        <v>0</v>
      </c>
      <c r="H290" s="141">
        <v>0</v>
      </c>
      <c r="I290" s="142"/>
      <c r="J290" s="142"/>
      <c r="K290" s="142"/>
      <c r="L290" s="143"/>
      <c r="M290" s="24">
        <v>0</v>
      </c>
      <c r="N290" s="24">
        <v>0</v>
      </c>
      <c r="O290" s="127"/>
    </row>
    <row r="291" spans="1:15" ht="32.25" customHeight="1" x14ac:dyDescent="0.3">
      <c r="A291" s="182"/>
      <c r="B291" s="137"/>
      <c r="C291" s="161"/>
      <c r="D291" s="38" t="s">
        <v>18</v>
      </c>
      <c r="E291" s="24">
        <f>F291+G291+H291+M291+N291</f>
        <v>0</v>
      </c>
      <c r="F291" s="24">
        <v>0</v>
      </c>
      <c r="G291" s="24">
        <v>0</v>
      </c>
      <c r="H291" s="141">
        <v>0</v>
      </c>
      <c r="I291" s="142"/>
      <c r="J291" s="142"/>
      <c r="K291" s="142"/>
      <c r="L291" s="143"/>
      <c r="M291" s="24">
        <v>0</v>
      </c>
      <c r="N291" s="24">
        <v>0</v>
      </c>
      <c r="O291" s="127"/>
    </row>
    <row r="292" spans="1:15" ht="32.25" customHeight="1" x14ac:dyDescent="0.3">
      <c r="A292" s="182"/>
      <c r="B292" s="137"/>
      <c r="C292" s="161"/>
      <c r="D292" s="38" t="s">
        <v>12</v>
      </c>
      <c r="E292" s="24">
        <f>F292+G292+H292+M292+N292</f>
        <v>0</v>
      </c>
      <c r="F292" s="24">
        <v>0</v>
      </c>
      <c r="G292" s="24">
        <v>0</v>
      </c>
      <c r="H292" s="141">
        <v>0</v>
      </c>
      <c r="I292" s="142"/>
      <c r="J292" s="142"/>
      <c r="K292" s="142"/>
      <c r="L292" s="143"/>
      <c r="M292" s="24">
        <v>0</v>
      </c>
      <c r="N292" s="24">
        <v>0</v>
      </c>
      <c r="O292" s="127"/>
    </row>
    <row r="293" spans="1:15" ht="23.25" customHeight="1" x14ac:dyDescent="0.3">
      <c r="A293" s="182"/>
      <c r="B293" s="137" t="s">
        <v>318</v>
      </c>
      <c r="C293" s="131" t="s">
        <v>101</v>
      </c>
      <c r="D293" s="131" t="s">
        <v>101</v>
      </c>
      <c r="E293" s="126" t="s">
        <v>102</v>
      </c>
      <c r="F293" s="126" t="s">
        <v>103</v>
      </c>
      <c r="G293" s="139" t="s">
        <v>501</v>
      </c>
      <c r="H293" s="132" t="s">
        <v>499</v>
      </c>
      <c r="I293" s="133" t="s">
        <v>332</v>
      </c>
      <c r="J293" s="134"/>
      <c r="K293" s="134"/>
      <c r="L293" s="135"/>
      <c r="M293" s="126" t="s">
        <v>105</v>
      </c>
      <c r="N293" s="126" t="s">
        <v>106</v>
      </c>
      <c r="O293" s="127"/>
    </row>
    <row r="294" spans="1:15" ht="23.25" customHeight="1" x14ac:dyDescent="0.3">
      <c r="A294" s="182"/>
      <c r="B294" s="137"/>
      <c r="C294" s="131"/>
      <c r="D294" s="131"/>
      <c r="E294" s="126"/>
      <c r="F294" s="126"/>
      <c r="G294" s="140"/>
      <c r="H294" s="126"/>
      <c r="I294" s="23" t="s">
        <v>327</v>
      </c>
      <c r="J294" s="23" t="s">
        <v>328</v>
      </c>
      <c r="K294" s="23" t="s">
        <v>329</v>
      </c>
      <c r="L294" s="23" t="s">
        <v>330</v>
      </c>
      <c r="M294" s="126"/>
      <c r="N294" s="126"/>
      <c r="O294" s="127"/>
    </row>
    <row r="295" spans="1:15" ht="36.75" customHeight="1" x14ac:dyDescent="0.3">
      <c r="A295" s="182"/>
      <c r="B295" s="137"/>
      <c r="C295" s="131"/>
      <c r="D295" s="131"/>
      <c r="E295" s="14">
        <v>0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27"/>
    </row>
    <row r="296" spans="1:15" ht="33" customHeight="1" x14ac:dyDescent="0.3">
      <c r="A296" s="182"/>
      <c r="B296" s="181" t="s">
        <v>319</v>
      </c>
      <c r="C296" s="161"/>
      <c r="D296" s="40" t="s">
        <v>308</v>
      </c>
      <c r="E296" s="16">
        <f>E297+E298+E299</f>
        <v>0</v>
      </c>
      <c r="F296" s="16">
        <f t="shared" ref="F296:N296" si="44">F297+F298+F299</f>
        <v>0</v>
      </c>
      <c r="G296" s="16">
        <f t="shared" si="44"/>
        <v>0</v>
      </c>
      <c r="H296" s="149">
        <f t="shared" si="44"/>
        <v>0</v>
      </c>
      <c r="I296" s="150"/>
      <c r="J296" s="150"/>
      <c r="K296" s="150"/>
      <c r="L296" s="151"/>
      <c r="M296" s="16">
        <f t="shared" si="44"/>
        <v>0</v>
      </c>
      <c r="N296" s="16">
        <f t="shared" si="44"/>
        <v>0</v>
      </c>
      <c r="O296" s="127"/>
    </row>
    <row r="297" spans="1:15" ht="32.25" customHeight="1" x14ac:dyDescent="0.3">
      <c r="A297" s="182"/>
      <c r="B297" s="181"/>
      <c r="C297" s="161"/>
      <c r="D297" s="40" t="s">
        <v>10</v>
      </c>
      <c r="E297" s="16">
        <f>F297+G297+H297+M297+N297</f>
        <v>0</v>
      </c>
      <c r="F297" s="16">
        <f t="shared" ref="F297:H299" si="45">F286</f>
        <v>0</v>
      </c>
      <c r="G297" s="16">
        <f t="shared" si="45"/>
        <v>0</v>
      </c>
      <c r="H297" s="149">
        <f t="shared" si="45"/>
        <v>0</v>
      </c>
      <c r="I297" s="150"/>
      <c r="J297" s="150"/>
      <c r="K297" s="150"/>
      <c r="L297" s="151"/>
      <c r="M297" s="16">
        <f t="shared" ref="M297:N299" si="46">M286</f>
        <v>0</v>
      </c>
      <c r="N297" s="16">
        <f t="shared" si="46"/>
        <v>0</v>
      </c>
      <c r="O297" s="127"/>
    </row>
    <row r="298" spans="1:15" ht="32.25" customHeight="1" x14ac:dyDescent="0.3">
      <c r="A298" s="182"/>
      <c r="B298" s="181"/>
      <c r="C298" s="161"/>
      <c r="D298" s="40" t="s">
        <v>18</v>
      </c>
      <c r="E298" s="16">
        <f>F298+G298+H298+M298+N298</f>
        <v>0</v>
      </c>
      <c r="F298" s="16">
        <f t="shared" si="45"/>
        <v>0</v>
      </c>
      <c r="G298" s="16">
        <f t="shared" si="45"/>
        <v>0</v>
      </c>
      <c r="H298" s="149">
        <f t="shared" si="45"/>
        <v>0</v>
      </c>
      <c r="I298" s="150"/>
      <c r="J298" s="150"/>
      <c r="K298" s="150"/>
      <c r="L298" s="151"/>
      <c r="M298" s="16">
        <f t="shared" si="46"/>
        <v>0</v>
      </c>
      <c r="N298" s="16">
        <f t="shared" si="46"/>
        <v>0</v>
      </c>
      <c r="O298" s="127"/>
    </row>
    <row r="299" spans="1:15" ht="32.25" customHeight="1" x14ac:dyDescent="0.3">
      <c r="A299" s="182"/>
      <c r="B299" s="181"/>
      <c r="C299" s="161"/>
      <c r="D299" s="40" t="s">
        <v>12</v>
      </c>
      <c r="E299" s="16">
        <f>F299+G299+H299+M299+N299</f>
        <v>0</v>
      </c>
      <c r="F299" s="16">
        <f t="shared" si="45"/>
        <v>0</v>
      </c>
      <c r="G299" s="16">
        <f t="shared" si="45"/>
        <v>0</v>
      </c>
      <c r="H299" s="149">
        <f t="shared" si="45"/>
        <v>0</v>
      </c>
      <c r="I299" s="150"/>
      <c r="J299" s="150"/>
      <c r="K299" s="150"/>
      <c r="L299" s="151"/>
      <c r="M299" s="16">
        <f t="shared" si="46"/>
        <v>0</v>
      </c>
      <c r="N299" s="16">
        <f t="shared" si="46"/>
        <v>0</v>
      </c>
      <c r="O299" s="127"/>
    </row>
    <row r="300" spans="1:15" ht="33" customHeight="1" x14ac:dyDescent="0.3">
      <c r="A300" s="138" t="s">
        <v>135</v>
      </c>
      <c r="B300" s="138"/>
      <c r="C300" s="138"/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  <c r="N300" s="138"/>
      <c r="O300" s="138"/>
    </row>
    <row r="301" spans="1:15" ht="34.5" customHeight="1" x14ac:dyDescent="0.3">
      <c r="A301" s="161" t="s">
        <v>6</v>
      </c>
      <c r="B301" s="137" t="s">
        <v>63</v>
      </c>
      <c r="C301" s="161" t="s">
        <v>67</v>
      </c>
      <c r="D301" s="37" t="s">
        <v>8</v>
      </c>
      <c r="E301" s="21">
        <f t="shared" ref="E301:N301" si="47">E302</f>
        <v>0</v>
      </c>
      <c r="F301" s="26">
        <f t="shared" si="47"/>
        <v>0</v>
      </c>
      <c r="G301" s="26">
        <f t="shared" si="47"/>
        <v>0</v>
      </c>
      <c r="H301" s="133">
        <f t="shared" si="47"/>
        <v>0</v>
      </c>
      <c r="I301" s="134"/>
      <c r="J301" s="134"/>
      <c r="K301" s="134"/>
      <c r="L301" s="135"/>
      <c r="M301" s="21">
        <f t="shared" si="47"/>
        <v>0</v>
      </c>
      <c r="N301" s="21">
        <f t="shared" si="47"/>
        <v>0</v>
      </c>
      <c r="O301" s="127"/>
    </row>
    <row r="302" spans="1:15" ht="41.25" customHeight="1" x14ac:dyDescent="0.3">
      <c r="A302" s="161"/>
      <c r="B302" s="137"/>
      <c r="C302" s="161"/>
      <c r="D302" s="50" t="s">
        <v>18</v>
      </c>
      <c r="E302" s="21">
        <f>F302+G302+H302</f>
        <v>0</v>
      </c>
      <c r="F302" s="26">
        <f>F303+F307+F311+F315+F319+F323+F327+F331+F335+F339</f>
        <v>0</v>
      </c>
      <c r="G302" s="26">
        <f t="shared" ref="G302:N302" si="48">G303+G307+G311+G315+G319+G323+G327+G331+G335+G339</f>
        <v>0</v>
      </c>
      <c r="H302" s="133">
        <f t="shared" si="48"/>
        <v>0</v>
      </c>
      <c r="I302" s="134"/>
      <c r="J302" s="134"/>
      <c r="K302" s="134"/>
      <c r="L302" s="135"/>
      <c r="M302" s="21">
        <f t="shared" si="48"/>
        <v>0</v>
      </c>
      <c r="N302" s="21">
        <f t="shared" si="48"/>
        <v>0</v>
      </c>
      <c r="O302" s="127"/>
    </row>
    <row r="303" spans="1:15" ht="75.75" hidden="1" customHeight="1" x14ac:dyDescent="0.3">
      <c r="A303" s="161" t="s">
        <v>13</v>
      </c>
      <c r="B303" s="38" t="s">
        <v>42</v>
      </c>
      <c r="C303" s="43" t="s">
        <v>67</v>
      </c>
      <c r="D303" s="50" t="s">
        <v>18</v>
      </c>
      <c r="E303" s="21">
        <f>G303</f>
        <v>0</v>
      </c>
      <c r="F303" s="21">
        <v>0</v>
      </c>
      <c r="G303" s="26">
        <v>0</v>
      </c>
      <c r="H303" s="21">
        <v>0</v>
      </c>
      <c r="I303" s="21"/>
      <c r="J303" s="21"/>
      <c r="K303" s="21"/>
      <c r="L303" s="21"/>
      <c r="M303" s="21">
        <v>0</v>
      </c>
      <c r="N303" s="21">
        <v>0</v>
      </c>
      <c r="O303" s="152" t="s">
        <v>57</v>
      </c>
    </row>
    <row r="304" spans="1:15" ht="27.75" hidden="1" customHeight="1" x14ac:dyDescent="0.3">
      <c r="A304" s="161"/>
      <c r="B304" s="137" t="s">
        <v>109</v>
      </c>
      <c r="C304" s="131" t="s">
        <v>101</v>
      </c>
      <c r="D304" s="131" t="s">
        <v>101</v>
      </c>
      <c r="E304" s="126" t="s">
        <v>102</v>
      </c>
      <c r="F304" s="126" t="s">
        <v>103</v>
      </c>
      <c r="G304" s="139" t="s">
        <v>331</v>
      </c>
      <c r="H304" s="126" t="s">
        <v>104</v>
      </c>
      <c r="I304" s="21"/>
      <c r="J304" s="21"/>
      <c r="K304" s="21"/>
      <c r="L304" s="21"/>
      <c r="M304" s="126" t="s">
        <v>105</v>
      </c>
      <c r="N304" s="126" t="s">
        <v>106</v>
      </c>
      <c r="O304" s="152"/>
    </row>
    <row r="305" spans="1:15" ht="23.25" hidden="1" customHeight="1" x14ac:dyDescent="0.3">
      <c r="A305" s="161"/>
      <c r="B305" s="137"/>
      <c r="C305" s="131"/>
      <c r="D305" s="131"/>
      <c r="E305" s="126"/>
      <c r="F305" s="126"/>
      <c r="G305" s="140"/>
      <c r="H305" s="126"/>
      <c r="I305" s="21"/>
      <c r="J305" s="21"/>
      <c r="K305" s="21"/>
      <c r="L305" s="21"/>
      <c r="M305" s="126"/>
      <c r="N305" s="126"/>
      <c r="O305" s="152"/>
    </row>
    <row r="306" spans="1:15" ht="24" hidden="1" customHeight="1" x14ac:dyDescent="0.3">
      <c r="A306" s="161"/>
      <c r="B306" s="137"/>
      <c r="C306" s="131"/>
      <c r="D306" s="131"/>
      <c r="E306" s="14">
        <v>0</v>
      </c>
      <c r="F306" s="14">
        <v>0</v>
      </c>
      <c r="G306" s="14">
        <v>0</v>
      </c>
      <c r="H306" s="14">
        <v>0</v>
      </c>
      <c r="I306" s="14"/>
      <c r="J306" s="14"/>
      <c r="K306" s="14"/>
      <c r="L306" s="14"/>
      <c r="M306" s="14">
        <v>0</v>
      </c>
      <c r="N306" s="14">
        <v>0</v>
      </c>
      <c r="O306" s="152"/>
    </row>
    <row r="307" spans="1:15" ht="69.75" hidden="1" customHeight="1" x14ac:dyDescent="0.3">
      <c r="A307" s="161" t="s">
        <v>16</v>
      </c>
      <c r="B307" s="38" t="s">
        <v>43</v>
      </c>
      <c r="C307" s="43" t="s">
        <v>67</v>
      </c>
      <c r="D307" s="50" t="s">
        <v>18</v>
      </c>
      <c r="E307" s="21">
        <v>0</v>
      </c>
      <c r="F307" s="21">
        <v>0</v>
      </c>
      <c r="G307" s="26">
        <v>0</v>
      </c>
      <c r="H307" s="21">
        <v>0</v>
      </c>
      <c r="I307" s="21"/>
      <c r="J307" s="21"/>
      <c r="K307" s="21"/>
      <c r="L307" s="21"/>
      <c r="M307" s="21">
        <v>0</v>
      </c>
      <c r="N307" s="21">
        <v>0</v>
      </c>
      <c r="O307" s="152" t="s">
        <v>57</v>
      </c>
    </row>
    <row r="308" spans="1:15" ht="27" hidden="1" customHeight="1" x14ac:dyDescent="0.3">
      <c r="A308" s="161"/>
      <c r="B308" s="137" t="s">
        <v>110</v>
      </c>
      <c r="C308" s="131" t="s">
        <v>101</v>
      </c>
      <c r="D308" s="131" t="s">
        <v>101</v>
      </c>
      <c r="E308" s="126" t="s">
        <v>102</v>
      </c>
      <c r="F308" s="126" t="s">
        <v>103</v>
      </c>
      <c r="G308" s="139" t="s">
        <v>331</v>
      </c>
      <c r="H308" s="126" t="s">
        <v>104</v>
      </c>
      <c r="I308" s="21"/>
      <c r="J308" s="21"/>
      <c r="K308" s="21"/>
      <c r="L308" s="21"/>
      <c r="M308" s="126" t="s">
        <v>105</v>
      </c>
      <c r="N308" s="126" t="s">
        <v>106</v>
      </c>
      <c r="O308" s="152"/>
    </row>
    <row r="309" spans="1:15" ht="27" hidden="1" customHeight="1" x14ac:dyDescent="0.3">
      <c r="A309" s="161"/>
      <c r="B309" s="137"/>
      <c r="C309" s="131"/>
      <c r="D309" s="131"/>
      <c r="E309" s="126"/>
      <c r="F309" s="126"/>
      <c r="G309" s="140"/>
      <c r="H309" s="126"/>
      <c r="I309" s="21"/>
      <c r="J309" s="21"/>
      <c r="K309" s="21"/>
      <c r="L309" s="21"/>
      <c r="M309" s="126"/>
      <c r="N309" s="126"/>
      <c r="O309" s="152"/>
    </row>
    <row r="310" spans="1:15" ht="24.75" hidden="1" customHeight="1" x14ac:dyDescent="0.3">
      <c r="A310" s="161"/>
      <c r="B310" s="137"/>
      <c r="C310" s="131"/>
      <c r="D310" s="131"/>
      <c r="E310" s="14">
        <v>0</v>
      </c>
      <c r="F310" s="14">
        <v>0</v>
      </c>
      <c r="G310" s="14">
        <v>0</v>
      </c>
      <c r="H310" s="14">
        <v>0</v>
      </c>
      <c r="I310" s="14"/>
      <c r="J310" s="14"/>
      <c r="K310" s="14"/>
      <c r="L310" s="14"/>
      <c r="M310" s="14">
        <v>0</v>
      </c>
      <c r="N310" s="14">
        <v>0</v>
      </c>
      <c r="O310" s="152"/>
    </row>
    <row r="311" spans="1:15" ht="60" hidden="1" customHeight="1" x14ac:dyDescent="0.3">
      <c r="A311" s="146" t="s">
        <v>22</v>
      </c>
      <c r="B311" s="38" t="s">
        <v>44</v>
      </c>
      <c r="C311" s="43" t="s">
        <v>67</v>
      </c>
      <c r="D311" s="50" t="s">
        <v>18</v>
      </c>
      <c r="E311" s="21">
        <v>0</v>
      </c>
      <c r="F311" s="26">
        <v>0</v>
      </c>
      <c r="G311" s="26">
        <v>0</v>
      </c>
      <c r="H311" s="21">
        <v>0</v>
      </c>
      <c r="I311" s="21"/>
      <c r="J311" s="21"/>
      <c r="K311" s="21"/>
      <c r="L311" s="21"/>
      <c r="M311" s="21">
        <v>0</v>
      </c>
      <c r="N311" s="21">
        <v>0</v>
      </c>
      <c r="O311" s="178" t="s">
        <v>57</v>
      </c>
    </row>
    <row r="312" spans="1:15" ht="24.75" hidden="1" customHeight="1" x14ac:dyDescent="0.3">
      <c r="A312" s="147"/>
      <c r="B312" s="128" t="s">
        <v>111</v>
      </c>
      <c r="C312" s="131" t="s">
        <v>101</v>
      </c>
      <c r="D312" s="174" t="s">
        <v>101</v>
      </c>
      <c r="E312" s="145" t="s">
        <v>102</v>
      </c>
      <c r="F312" s="145" t="s">
        <v>103</v>
      </c>
      <c r="G312" s="139" t="s">
        <v>331</v>
      </c>
      <c r="H312" s="145" t="s">
        <v>104</v>
      </c>
      <c r="I312" s="22"/>
      <c r="J312" s="22"/>
      <c r="K312" s="22"/>
      <c r="L312" s="22"/>
      <c r="M312" s="145" t="s">
        <v>105</v>
      </c>
      <c r="N312" s="145" t="s">
        <v>106</v>
      </c>
      <c r="O312" s="179"/>
    </row>
    <row r="313" spans="1:15" ht="20.25" hidden="1" customHeight="1" x14ac:dyDescent="0.3">
      <c r="A313" s="147"/>
      <c r="B313" s="129"/>
      <c r="C313" s="131"/>
      <c r="D313" s="175"/>
      <c r="E313" s="140"/>
      <c r="F313" s="140"/>
      <c r="G313" s="140"/>
      <c r="H313" s="140"/>
      <c r="I313" s="23"/>
      <c r="J313" s="23"/>
      <c r="K313" s="23"/>
      <c r="L313" s="23"/>
      <c r="M313" s="140"/>
      <c r="N313" s="140"/>
      <c r="O313" s="179"/>
    </row>
    <row r="314" spans="1:15" ht="24.75" hidden="1" customHeight="1" x14ac:dyDescent="0.3">
      <c r="A314" s="148"/>
      <c r="B314" s="130"/>
      <c r="C314" s="131"/>
      <c r="D314" s="176"/>
      <c r="E314" s="14">
        <v>0</v>
      </c>
      <c r="F314" s="17">
        <v>0</v>
      </c>
      <c r="G314" s="17">
        <v>0</v>
      </c>
      <c r="H314" s="17">
        <v>0</v>
      </c>
      <c r="I314" s="17"/>
      <c r="J314" s="17"/>
      <c r="K314" s="17"/>
      <c r="L314" s="17"/>
      <c r="M314" s="17">
        <v>0</v>
      </c>
      <c r="N314" s="17">
        <v>0</v>
      </c>
      <c r="O314" s="180"/>
    </row>
    <row r="315" spans="1:15" ht="53.25" hidden="1" customHeight="1" x14ac:dyDescent="0.3">
      <c r="A315" s="161" t="s">
        <v>19</v>
      </c>
      <c r="B315" s="38" t="s">
        <v>45</v>
      </c>
      <c r="C315" s="43" t="s">
        <v>67</v>
      </c>
      <c r="D315" s="50" t="s">
        <v>18</v>
      </c>
      <c r="E315" s="21">
        <v>0</v>
      </c>
      <c r="F315" s="21">
        <v>0</v>
      </c>
      <c r="G315" s="26">
        <v>0</v>
      </c>
      <c r="H315" s="21">
        <v>0</v>
      </c>
      <c r="I315" s="21"/>
      <c r="J315" s="21"/>
      <c r="K315" s="21"/>
      <c r="L315" s="21"/>
      <c r="M315" s="21">
        <v>0</v>
      </c>
      <c r="N315" s="21">
        <v>0</v>
      </c>
      <c r="O315" s="152" t="s">
        <v>57</v>
      </c>
    </row>
    <row r="316" spans="1:15" ht="24.75" hidden="1" customHeight="1" x14ac:dyDescent="0.3">
      <c r="A316" s="161"/>
      <c r="B316" s="137" t="s">
        <v>112</v>
      </c>
      <c r="C316" s="131" t="s">
        <v>101</v>
      </c>
      <c r="D316" s="131" t="s">
        <v>101</v>
      </c>
      <c r="E316" s="126" t="s">
        <v>102</v>
      </c>
      <c r="F316" s="126" t="s">
        <v>103</v>
      </c>
      <c r="G316" s="139" t="s">
        <v>331</v>
      </c>
      <c r="H316" s="126" t="s">
        <v>104</v>
      </c>
      <c r="I316" s="21"/>
      <c r="J316" s="21"/>
      <c r="K316" s="21"/>
      <c r="L316" s="21"/>
      <c r="M316" s="126" t="s">
        <v>105</v>
      </c>
      <c r="N316" s="126" t="s">
        <v>106</v>
      </c>
      <c r="O316" s="152"/>
    </row>
    <row r="317" spans="1:15" ht="24.75" hidden="1" customHeight="1" x14ac:dyDescent="0.3">
      <c r="A317" s="161"/>
      <c r="B317" s="137"/>
      <c r="C317" s="131"/>
      <c r="D317" s="131"/>
      <c r="E317" s="126"/>
      <c r="F317" s="126"/>
      <c r="G317" s="140"/>
      <c r="H317" s="126"/>
      <c r="I317" s="21"/>
      <c r="J317" s="21"/>
      <c r="K317" s="21"/>
      <c r="L317" s="21"/>
      <c r="M317" s="126"/>
      <c r="N317" s="126"/>
      <c r="O317" s="152"/>
    </row>
    <row r="318" spans="1:15" ht="27.75" hidden="1" customHeight="1" x14ac:dyDescent="0.3">
      <c r="A318" s="161"/>
      <c r="B318" s="137"/>
      <c r="C318" s="131"/>
      <c r="D318" s="131"/>
      <c r="E318" s="14">
        <v>0</v>
      </c>
      <c r="F318" s="14">
        <v>0</v>
      </c>
      <c r="G318" s="14">
        <v>0</v>
      </c>
      <c r="H318" s="14">
        <v>0</v>
      </c>
      <c r="I318" s="14"/>
      <c r="J318" s="14"/>
      <c r="K318" s="14"/>
      <c r="L318" s="14"/>
      <c r="M318" s="14">
        <v>0</v>
      </c>
      <c r="N318" s="14">
        <v>0</v>
      </c>
      <c r="O318" s="152"/>
    </row>
    <row r="319" spans="1:15" ht="73.5" hidden="1" customHeight="1" x14ac:dyDescent="0.3">
      <c r="A319" s="161" t="s">
        <v>29</v>
      </c>
      <c r="B319" s="38" t="s">
        <v>46</v>
      </c>
      <c r="C319" s="43" t="s">
        <v>67</v>
      </c>
      <c r="D319" s="50" t="s">
        <v>18</v>
      </c>
      <c r="E319" s="21">
        <v>0</v>
      </c>
      <c r="F319" s="21">
        <v>0</v>
      </c>
      <c r="G319" s="26">
        <v>0</v>
      </c>
      <c r="H319" s="21">
        <v>0</v>
      </c>
      <c r="I319" s="21"/>
      <c r="J319" s="21"/>
      <c r="K319" s="21"/>
      <c r="L319" s="21"/>
      <c r="M319" s="21">
        <v>0</v>
      </c>
      <c r="N319" s="21">
        <v>0</v>
      </c>
      <c r="O319" s="152" t="s">
        <v>57</v>
      </c>
    </row>
    <row r="320" spans="1:15" ht="25.5" hidden="1" customHeight="1" x14ac:dyDescent="0.3">
      <c r="A320" s="161"/>
      <c r="B320" s="137" t="s">
        <v>113</v>
      </c>
      <c r="C320" s="131" t="s">
        <v>101</v>
      </c>
      <c r="D320" s="131" t="s">
        <v>101</v>
      </c>
      <c r="E320" s="126" t="s">
        <v>102</v>
      </c>
      <c r="F320" s="126" t="s">
        <v>103</v>
      </c>
      <c r="G320" s="139" t="s">
        <v>331</v>
      </c>
      <c r="H320" s="126" t="s">
        <v>104</v>
      </c>
      <c r="I320" s="21"/>
      <c r="J320" s="21"/>
      <c r="K320" s="21"/>
      <c r="L320" s="21"/>
      <c r="M320" s="126" t="s">
        <v>105</v>
      </c>
      <c r="N320" s="126" t="s">
        <v>106</v>
      </c>
      <c r="O320" s="152"/>
    </row>
    <row r="321" spans="1:15" ht="24" hidden="1" customHeight="1" x14ac:dyDescent="0.3">
      <c r="A321" s="161"/>
      <c r="B321" s="137"/>
      <c r="C321" s="131"/>
      <c r="D321" s="131"/>
      <c r="E321" s="126"/>
      <c r="F321" s="126"/>
      <c r="G321" s="140"/>
      <c r="H321" s="126"/>
      <c r="I321" s="21"/>
      <c r="J321" s="21"/>
      <c r="K321" s="21"/>
      <c r="L321" s="21"/>
      <c r="M321" s="126"/>
      <c r="N321" s="126"/>
      <c r="O321" s="152"/>
    </row>
    <row r="322" spans="1:15" ht="30.75" hidden="1" customHeight="1" x14ac:dyDescent="0.3">
      <c r="A322" s="161"/>
      <c r="B322" s="137"/>
      <c r="C322" s="131"/>
      <c r="D322" s="131"/>
      <c r="E322" s="14">
        <v>0</v>
      </c>
      <c r="F322" s="14">
        <v>0</v>
      </c>
      <c r="G322" s="14">
        <v>0</v>
      </c>
      <c r="H322" s="14">
        <v>0</v>
      </c>
      <c r="I322" s="14"/>
      <c r="J322" s="14"/>
      <c r="K322" s="14"/>
      <c r="L322" s="14"/>
      <c r="M322" s="14">
        <v>0</v>
      </c>
      <c r="N322" s="14">
        <v>0</v>
      </c>
      <c r="O322" s="152"/>
    </row>
    <row r="323" spans="1:15" ht="57.75" hidden="1" customHeight="1" x14ac:dyDescent="0.3">
      <c r="A323" s="161" t="s">
        <v>33</v>
      </c>
      <c r="B323" s="38" t="s">
        <v>47</v>
      </c>
      <c r="C323" s="43" t="s">
        <v>67</v>
      </c>
      <c r="D323" s="50" t="s">
        <v>18</v>
      </c>
      <c r="E323" s="21">
        <v>0</v>
      </c>
      <c r="F323" s="21">
        <v>0</v>
      </c>
      <c r="G323" s="26">
        <v>0</v>
      </c>
      <c r="H323" s="21">
        <v>0</v>
      </c>
      <c r="I323" s="21"/>
      <c r="J323" s="21"/>
      <c r="K323" s="21"/>
      <c r="L323" s="21"/>
      <c r="M323" s="21">
        <v>0</v>
      </c>
      <c r="N323" s="21">
        <v>0</v>
      </c>
      <c r="O323" s="152" t="s">
        <v>57</v>
      </c>
    </row>
    <row r="324" spans="1:15" ht="27" hidden="1" customHeight="1" x14ac:dyDescent="0.3">
      <c r="A324" s="161"/>
      <c r="B324" s="137" t="s">
        <v>114</v>
      </c>
      <c r="C324" s="131" t="s">
        <v>101</v>
      </c>
      <c r="D324" s="131" t="s">
        <v>101</v>
      </c>
      <c r="E324" s="126" t="s">
        <v>102</v>
      </c>
      <c r="F324" s="126" t="s">
        <v>103</v>
      </c>
      <c r="G324" s="139" t="s">
        <v>331</v>
      </c>
      <c r="H324" s="126" t="s">
        <v>104</v>
      </c>
      <c r="I324" s="21"/>
      <c r="J324" s="21"/>
      <c r="K324" s="21"/>
      <c r="L324" s="21"/>
      <c r="M324" s="126" t="s">
        <v>105</v>
      </c>
      <c r="N324" s="126" t="s">
        <v>106</v>
      </c>
      <c r="O324" s="152"/>
    </row>
    <row r="325" spans="1:15" ht="27" hidden="1" customHeight="1" x14ac:dyDescent="0.3">
      <c r="A325" s="161"/>
      <c r="B325" s="137"/>
      <c r="C325" s="131"/>
      <c r="D325" s="131"/>
      <c r="E325" s="126"/>
      <c r="F325" s="126"/>
      <c r="G325" s="140"/>
      <c r="H325" s="126"/>
      <c r="I325" s="21"/>
      <c r="J325" s="21"/>
      <c r="K325" s="21"/>
      <c r="L325" s="21"/>
      <c r="M325" s="126"/>
      <c r="N325" s="126"/>
      <c r="O325" s="152"/>
    </row>
    <row r="326" spans="1:15" ht="27" hidden="1" customHeight="1" x14ac:dyDescent="0.3">
      <c r="A326" s="161"/>
      <c r="B326" s="137"/>
      <c r="C326" s="131"/>
      <c r="D326" s="131"/>
      <c r="E326" s="14">
        <v>0</v>
      </c>
      <c r="F326" s="14">
        <v>0</v>
      </c>
      <c r="G326" s="14">
        <v>0</v>
      </c>
      <c r="H326" s="14">
        <v>0</v>
      </c>
      <c r="I326" s="14"/>
      <c r="J326" s="14"/>
      <c r="K326" s="14"/>
      <c r="L326" s="14"/>
      <c r="M326" s="14">
        <v>0</v>
      </c>
      <c r="N326" s="14">
        <v>0</v>
      </c>
      <c r="O326" s="152"/>
    </row>
    <row r="327" spans="1:15" ht="75.75" hidden="1" customHeight="1" x14ac:dyDescent="0.3">
      <c r="A327" s="161" t="s">
        <v>34</v>
      </c>
      <c r="B327" s="38" t="s">
        <v>48</v>
      </c>
      <c r="C327" s="43" t="s">
        <v>67</v>
      </c>
      <c r="D327" s="50" t="s">
        <v>18</v>
      </c>
      <c r="E327" s="21">
        <v>0</v>
      </c>
      <c r="F327" s="21">
        <v>0</v>
      </c>
      <c r="G327" s="26">
        <v>0</v>
      </c>
      <c r="H327" s="21">
        <v>0</v>
      </c>
      <c r="I327" s="21"/>
      <c r="J327" s="21"/>
      <c r="K327" s="21"/>
      <c r="L327" s="21"/>
      <c r="M327" s="21">
        <v>0</v>
      </c>
      <c r="N327" s="21">
        <v>0</v>
      </c>
      <c r="O327" s="152" t="s">
        <v>57</v>
      </c>
    </row>
    <row r="328" spans="1:15" ht="27" hidden="1" customHeight="1" x14ac:dyDescent="0.3">
      <c r="A328" s="161"/>
      <c r="B328" s="137" t="s">
        <v>115</v>
      </c>
      <c r="C328" s="131" t="s">
        <v>101</v>
      </c>
      <c r="D328" s="131" t="s">
        <v>101</v>
      </c>
      <c r="E328" s="126" t="s">
        <v>102</v>
      </c>
      <c r="F328" s="126" t="s">
        <v>103</v>
      </c>
      <c r="G328" s="139" t="s">
        <v>331</v>
      </c>
      <c r="H328" s="126" t="s">
        <v>104</v>
      </c>
      <c r="I328" s="21"/>
      <c r="J328" s="21"/>
      <c r="K328" s="21"/>
      <c r="L328" s="21"/>
      <c r="M328" s="126" t="s">
        <v>105</v>
      </c>
      <c r="N328" s="126" t="s">
        <v>106</v>
      </c>
      <c r="O328" s="152"/>
    </row>
    <row r="329" spans="1:15" ht="27" hidden="1" customHeight="1" x14ac:dyDescent="0.3">
      <c r="A329" s="161"/>
      <c r="B329" s="137"/>
      <c r="C329" s="131"/>
      <c r="D329" s="131"/>
      <c r="E329" s="126"/>
      <c r="F329" s="126"/>
      <c r="G329" s="140"/>
      <c r="H329" s="126"/>
      <c r="I329" s="21"/>
      <c r="J329" s="21"/>
      <c r="K329" s="21"/>
      <c r="L329" s="21"/>
      <c r="M329" s="126"/>
      <c r="N329" s="126"/>
      <c r="O329" s="152"/>
    </row>
    <row r="330" spans="1:15" ht="27" hidden="1" customHeight="1" x14ac:dyDescent="0.3">
      <c r="A330" s="161"/>
      <c r="B330" s="137"/>
      <c r="C330" s="131"/>
      <c r="D330" s="131"/>
      <c r="E330" s="14">
        <v>0</v>
      </c>
      <c r="F330" s="14">
        <v>0</v>
      </c>
      <c r="G330" s="14">
        <v>0</v>
      </c>
      <c r="H330" s="14">
        <v>0</v>
      </c>
      <c r="I330" s="14"/>
      <c r="J330" s="14"/>
      <c r="K330" s="14"/>
      <c r="L330" s="14"/>
      <c r="M330" s="14">
        <v>0</v>
      </c>
      <c r="N330" s="14">
        <v>0</v>
      </c>
      <c r="O330" s="152"/>
    </row>
    <row r="331" spans="1:15" ht="58.5" hidden="1" customHeight="1" x14ac:dyDescent="0.3">
      <c r="A331" s="161" t="s">
        <v>35</v>
      </c>
      <c r="B331" s="38" t="s">
        <v>49</v>
      </c>
      <c r="C331" s="43" t="s">
        <v>67</v>
      </c>
      <c r="D331" s="50" t="s">
        <v>18</v>
      </c>
      <c r="E331" s="21">
        <v>0</v>
      </c>
      <c r="F331" s="21">
        <v>0</v>
      </c>
      <c r="G331" s="26">
        <v>0</v>
      </c>
      <c r="H331" s="21">
        <v>0</v>
      </c>
      <c r="I331" s="21"/>
      <c r="J331" s="21"/>
      <c r="K331" s="21"/>
      <c r="L331" s="21"/>
      <c r="M331" s="21">
        <v>0</v>
      </c>
      <c r="N331" s="21">
        <v>0</v>
      </c>
      <c r="O331" s="152" t="s">
        <v>57</v>
      </c>
    </row>
    <row r="332" spans="1:15" ht="24.75" hidden="1" customHeight="1" x14ac:dyDescent="0.3">
      <c r="A332" s="161"/>
      <c r="B332" s="137" t="s">
        <v>116</v>
      </c>
      <c r="C332" s="131" t="s">
        <v>101</v>
      </c>
      <c r="D332" s="131" t="s">
        <v>101</v>
      </c>
      <c r="E332" s="126" t="s">
        <v>102</v>
      </c>
      <c r="F332" s="126" t="s">
        <v>103</v>
      </c>
      <c r="G332" s="139" t="s">
        <v>331</v>
      </c>
      <c r="H332" s="126" t="s">
        <v>104</v>
      </c>
      <c r="I332" s="21"/>
      <c r="J332" s="21"/>
      <c r="K332" s="21"/>
      <c r="L332" s="21"/>
      <c r="M332" s="126" t="s">
        <v>105</v>
      </c>
      <c r="N332" s="126" t="s">
        <v>106</v>
      </c>
      <c r="O332" s="152"/>
    </row>
    <row r="333" spans="1:15" ht="24.75" hidden="1" customHeight="1" x14ac:dyDescent="0.3">
      <c r="A333" s="161"/>
      <c r="B333" s="137"/>
      <c r="C333" s="131"/>
      <c r="D333" s="131"/>
      <c r="E333" s="126"/>
      <c r="F333" s="126"/>
      <c r="G333" s="140"/>
      <c r="H333" s="126"/>
      <c r="I333" s="21"/>
      <c r="J333" s="21"/>
      <c r="K333" s="21"/>
      <c r="L333" s="21"/>
      <c r="M333" s="126"/>
      <c r="N333" s="126"/>
      <c r="O333" s="152"/>
    </row>
    <row r="334" spans="1:15" ht="24.75" hidden="1" customHeight="1" x14ac:dyDescent="0.3">
      <c r="A334" s="161"/>
      <c r="B334" s="137"/>
      <c r="C334" s="131"/>
      <c r="D334" s="131"/>
      <c r="E334" s="14">
        <v>0</v>
      </c>
      <c r="F334" s="14">
        <v>0</v>
      </c>
      <c r="G334" s="14">
        <v>0</v>
      </c>
      <c r="H334" s="14">
        <v>0</v>
      </c>
      <c r="I334" s="14"/>
      <c r="J334" s="14"/>
      <c r="K334" s="14"/>
      <c r="L334" s="14"/>
      <c r="M334" s="14">
        <v>0</v>
      </c>
      <c r="N334" s="14">
        <v>0</v>
      </c>
      <c r="O334" s="152"/>
    </row>
    <row r="335" spans="1:15" ht="43.5" hidden="1" customHeight="1" x14ac:dyDescent="0.3">
      <c r="A335" s="146" t="s">
        <v>36</v>
      </c>
      <c r="B335" s="38" t="s">
        <v>50</v>
      </c>
      <c r="C335" s="43" t="s">
        <v>67</v>
      </c>
      <c r="D335" s="50" t="s">
        <v>18</v>
      </c>
      <c r="E335" s="21">
        <v>0</v>
      </c>
      <c r="F335" s="26">
        <v>0</v>
      </c>
      <c r="G335" s="26">
        <v>0</v>
      </c>
      <c r="H335" s="21">
        <v>0</v>
      </c>
      <c r="I335" s="21"/>
      <c r="J335" s="21"/>
      <c r="K335" s="21"/>
      <c r="L335" s="21"/>
      <c r="M335" s="21">
        <v>0</v>
      </c>
      <c r="N335" s="21">
        <v>0</v>
      </c>
      <c r="O335" s="178" t="s">
        <v>57</v>
      </c>
    </row>
    <row r="336" spans="1:15" ht="24.75" hidden="1" customHeight="1" x14ac:dyDescent="0.3">
      <c r="A336" s="147"/>
      <c r="B336" s="128" t="s">
        <v>117</v>
      </c>
      <c r="C336" s="131" t="s">
        <v>101</v>
      </c>
      <c r="D336" s="174" t="s">
        <v>101</v>
      </c>
      <c r="E336" s="145" t="s">
        <v>102</v>
      </c>
      <c r="F336" s="145" t="s">
        <v>103</v>
      </c>
      <c r="G336" s="139" t="s">
        <v>331</v>
      </c>
      <c r="H336" s="145" t="s">
        <v>104</v>
      </c>
      <c r="I336" s="22"/>
      <c r="J336" s="22"/>
      <c r="K336" s="22"/>
      <c r="L336" s="22"/>
      <c r="M336" s="145" t="s">
        <v>105</v>
      </c>
      <c r="N336" s="145" t="s">
        <v>106</v>
      </c>
      <c r="O336" s="179"/>
    </row>
    <row r="337" spans="1:15" ht="24.75" hidden="1" customHeight="1" x14ac:dyDescent="0.3">
      <c r="A337" s="147"/>
      <c r="B337" s="129"/>
      <c r="C337" s="131"/>
      <c r="D337" s="175"/>
      <c r="E337" s="140"/>
      <c r="F337" s="140"/>
      <c r="G337" s="140"/>
      <c r="H337" s="140"/>
      <c r="I337" s="23"/>
      <c r="J337" s="23"/>
      <c r="K337" s="23"/>
      <c r="L337" s="23"/>
      <c r="M337" s="140"/>
      <c r="N337" s="140"/>
      <c r="O337" s="179"/>
    </row>
    <row r="338" spans="1:15" ht="24.75" hidden="1" customHeight="1" x14ac:dyDescent="0.3">
      <c r="A338" s="148"/>
      <c r="B338" s="130"/>
      <c r="C338" s="131"/>
      <c r="D338" s="176"/>
      <c r="E338" s="14">
        <v>0</v>
      </c>
      <c r="F338" s="17">
        <v>0</v>
      </c>
      <c r="G338" s="17">
        <v>0</v>
      </c>
      <c r="H338" s="17">
        <v>0</v>
      </c>
      <c r="I338" s="17"/>
      <c r="J338" s="17"/>
      <c r="K338" s="17"/>
      <c r="L338" s="17"/>
      <c r="M338" s="17">
        <v>0</v>
      </c>
      <c r="N338" s="17">
        <v>0</v>
      </c>
      <c r="O338" s="180"/>
    </row>
    <row r="339" spans="1:15" ht="61.5" customHeight="1" x14ac:dyDescent="0.3">
      <c r="A339" s="161" t="s">
        <v>13</v>
      </c>
      <c r="B339" s="38" t="s">
        <v>323</v>
      </c>
      <c r="C339" s="43" t="s">
        <v>67</v>
      </c>
      <c r="D339" s="50" t="s">
        <v>18</v>
      </c>
      <c r="E339" s="21">
        <v>0</v>
      </c>
      <c r="F339" s="21">
        <v>0</v>
      </c>
      <c r="G339" s="21">
        <v>0</v>
      </c>
      <c r="H339" s="133">
        <v>0</v>
      </c>
      <c r="I339" s="134"/>
      <c r="J339" s="134"/>
      <c r="K339" s="134"/>
      <c r="L339" s="135"/>
      <c r="M339" s="21">
        <v>0</v>
      </c>
      <c r="N339" s="21">
        <v>0</v>
      </c>
      <c r="O339" s="152" t="s">
        <v>93</v>
      </c>
    </row>
    <row r="340" spans="1:15" ht="21" customHeight="1" x14ac:dyDescent="0.3">
      <c r="A340" s="161"/>
      <c r="B340" s="137" t="s">
        <v>530</v>
      </c>
      <c r="C340" s="131" t="s">
        <v>101</v>
      </c>
      <c r="D340" s="131" t="s">
        <v>101</v>
      </c>
      <c r="E340" s="126" t="s">
        <v>102</v>
      </c>
      <c r="F340" s="126" t="s">
        <v>103</v>
      </c>
      <c r="G340" s="139" t="s">
        <v>501</v>
      </c>
      <c r="H340" s="132" t="s">
        <v>499</v>
      </c>
      <c r="I340" s="133" t="s">
        <v>332</v>
      </c>
      <c r="J340" s="134"/>
      <c r="K340" s="134"/>
      <c r="L340" s="135"/>
      <c r="M340" s="126" t="s">
        <v>105</v>
      </c>
      <c r="N340" s="126" t="s">
        <v>106</v>
      </c>
      <c r="O340" s="152"/>
    </row>
    <row r="341" spans="1:15" ht="21" customHeight="1" x14ac:dyDescent="0.3">
      <c r="A341" s="161"/>
      <c r="B341" s="137"/>
      <c r="C341" s="131"/>
      <c r="D341" s="131"/>
      <c r="E341" s="126"/>
      <c r="F341" s="126"/>
      <c r="G341" s="140"/>
      <c r="H341" s="126"/>
      <c r="I341" s="23" t="s">
        <v>327</v>
      </c>
      <c r="J341" s="23" t="s">
        <v>328</v>
      </c>
      <c r="K341" s="23" t="s">
        <v>329</v>
      </c>
      <c r="L341" s="23" t="s">
        <v>330</v>
      </c>
      <c r="M341" s="126"/>
      <c r="N341" s="126"/>
      <c r="O341" s="152"/>
    </row>
    <row r="342" spans="1:15" ht="43.5" customHeight="1" x14ac:dyDescent="0.3">
      <c r="A342" s="161"/>
      <c r="B342" s="137"/>
      <c r="C342" s="131"/>
      <c r="D342" s="131"/>
      <c r="E342" s="14">
        <v>75</v>
      </c>
      <c r="F342" s="14">
        <v>0</v>
      </c>
      <c r="G342" s="14">
        <v>75</v>
      </c>
      <c r="H342" s="14">
        <v>0</v>
      </c>
      <c r="I342" s="14">
        <v>0</v>
      </c>
      <c r="J342" s="14">
        <v>0</v>
      </c>
      <c r="K342" s="14">
        <v>0</v>
      </c>
      <c r="L342" s="14">
        <v>0</v>
      </c>
      <c r="M342" s="14">
        <v>0</v>
      </c>
      <c r="N342" s="14">
        <v>0</v>
      </c>
      <c r="O342" s="152"/>
    </row>
    <row r="343" spans="1:15" ht="88.5" customHeight="1" x14ac:dyDescent="0.3">
      <c r="A343" s="161" t="s">
        <v>16</v>
      </c>
      <c r="B343" s="38" t="s">
        <v>324</v>
      </c>
      <c r="C343" s="43" t="s">
        <v>67</v>
      </c>
      <c r="D343" s="50" t="s">
        <v>18</v>
      </c>
      <c r="E343" s="21">
        <v>0</v>
      </c>
      <c r="F343" s="21">
        <v>0</v>
      </c>
      <c r="G343" s="21">
        <v>0</v>
      </c>
      <c r="H343" s="133">
        <v>0</v>
      </c>
      <c r="I343" s="134"/>
      <c r="J343" s="134"/>
      <c r="K343" s="134"/>
      <c r="L343" s="135"/>
      <c r="M343" s="21">
        <v>0</v>
      </c>
      <c r="N343" s="21">
        <v>0</v>
      </c>
      <c r="O343" s="152" t="s">
        <v>30</v>
      </c>
    </row>
    <row r="344" spans="1:15" ht="21" customHeight="1" x14ac:dyDescent="0.3">
      <c r="A344" s="161"/>
      <c r="B344" s="137" t="s">
        <v>531</v>
      </c>
      <c r="C344" s="131" t="s">
        <v>101</v>
      </c>
      <c r="D344" s="131" t="s">
        <v>101</v>
      </c>
      <c r="E344" s="126" t="s">
        <v>102</v>
      </c>
      <c r="F344" s="126" t="s">
        <v>103</v>
      </c>
      <c r="G344" s="139" t="s">
        <v>501</v>
      </c>
      <c r="H344" s="132" t="s">
        <v>499</v>
      </c>
      <c r="I344" s="133" t="s">
        <v>332</v>
      </c>
      <c r="J344" s="134"/>
      <c r="K344" s="134"/>
      <c r="L344" s="135"/>
      <c r="M344" s="126" t="s">
        <v>105</v>
      </c>
      <c r="N344" s="126" t="s">
        <v>106</v>
      </c>
      <c r="O344" s="152"/>
    </row>
    <row r="345" spans="1:15" ht="21" customHeight="1" x14ac:dyDescent="0.3">
      <c r="A345" s="161"/>
      <c r="B345" s="137"/>
      <c r="C345" s="131"/>
      <c r="D345" s="131"/>
      <c r="E345" s="126"/>
      <c r="F345" s="126"/>
      <c r="G345" s="140"/>
      <c r="H345" s="126"/>
      <c r="I345" s="23" t="s">
        <v>327</v>
      </c>
      <c r="J345" s="23" t="s">
        <v>328</v>
      </c>
      <c r="K345" s="23" t="s">
        <v>329</v>
      </c>
      <c r="L345" s="23" t="s">
        <v>330</v>
      </c>
      <c r="M345" s="126"/>
      <c r="N345" s="126"/>
      <c r="O345" s="152"/>
    </row>
    <row r="346" spans="1:15" ht="46.5" customHeight="1" x14ac:dyDescent="0.3">
      <c r="A346" s="161"/>
      <c r="B346" s="137"/>
      <c r="C346" s="131"/>
      <c r="D346" s="131"/>
      <c r="E346" s="14">
        <v>6</v>
      </c>
      <c r="F346" s="14">
        <v>0</v>
      </c>
      <c r="G346" s="14">
        <v>6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52"/>
    </row>
    <row r="347" spans="1:15" ht="32.25" customHeight="1" x14ac:dyDescent="0.3">
      <c r="A347" s="161" t="s">
        <v>23</v>
      </c>
      <c r="B347" s="137" t="s">
        <v>58</v>
      </c>
      <c r="C347" s="161" t="s">
        <v>67</v>
      </c>
      <c r="D347" s="37" t="s">
        <v>8</v>
      </c>
      <c r="E347" s="21">
        <f>F347+G347+H347+M347+N347</f>
        <v>30923.406130000003</v>
      </c>
      <c r="F347" s="21">
        <f>F348+F349</f>
        <v>30923.406130000003</v>
      </c>
      <c r="G347" s="26">
        <f>G348+G349</f>
        <v>0</v>
      </c>
      <c r="H347" s="133">
        <f>H348+H349</f>
        <v>0</v>
      </c>
      <c r="I347" s="134"/>
      <c r="J347" s="134"/>
      <c r="K347" s="134"/>
      <c r="L347" s="135"/>
      <c r="M347" s="21">
        <f>M348</f>
        <v>0</v>
      </c>
      <c r="N347" s="21">
        <f>N348</f>
        <v>0</v>
      </c>
      <c r="O347" s="169"/>
    </row>
    <row r="348" spans="1:15" ht="36.75" customHeight="1" x14ac:dyDescent="0.3">
      <c r="A348" s="161"/>
      <c r="B348" s="137"/>
      <c r="C348" s="161"/>
      <c r="D348" s="38" t="s">
        <v>18</v>
      </c>
      <c r="E348" s="21">
        <f>F348</f>
        <v>30923.406130000003</v>
      </c>
      <c r="F348" s="21">
        <f>F350+F357</f>
        <v>30923.406130000003</v>
      </c>
      <c r="G348" s="26">
        <f>G350</f>
        <v>0</v>
      </c>
      <c r="H348" s="133">
        <f>H350+H357</f>
        <v>0</v>
      </c>
      <c r="I348" s="134"/>
      <c r="J348" s="134"/>
      <c r="K348" s="134"/>
      <c r="L348" s="135"/>
      <c r="M348" s="21">
        <f>M350+M357</f>
        <v>0</v>
      </c>
      <c r="N348" s="21">
        <f>N350+N357</f>
        <v>0</v>
      </c>
      <c r="O348" s="169"/>
    </row>
    <row r="349" spans="1:15" ht="30" customHeight="1" x14ac:dyDescent="0.3">
      <c r="A349" s="161"/>
      <c r="B349" s="137"/>
      <c r="C349" s="161"/>
      <c r="D349" s="50" t="s">
        <v>12</v>
      </c>
      <c r="E349" s="21">
        <v>0</v>
      </c>
      <c r="F349" s="21">
        <v>0</v>
      </c>
      <c r="G349" s="26">
        <v>0</v>
      </c>
      <c r="H349" s="133">
        <v>0</v>
      </c>
      <c r="I349" s="134"/>
      <c r="J349" s="134"/>
      <c r="K349" s="134"/>
      <c r="L349" s="135"/>
      <c r="M349" s="21">
        <v>0</v>
      </c>
      <c r="N349" s="21">
        <v>0</v>
      </c>
      <c r="O349" s="169"/>
    </row>
    <row r="350" spans="1:15" ht="39" customHeight="1" x14ac:dyDescent="0.3">
      <c r="A350" s="161" t="s">
        <v>25</v>
      </c>
      <c r="B350" s="137" t="s">
        <v>51</v>
      </c>
      <c r="C350" s="161" t="s">
        <v>67</v>
      </c>
      <c r="D350" s="50" t="s">
        <v>18</v>
      </c>
      <c r="E350" s="21">
        <f>F350+G350+H350+M350+N350</f>
        <v>385.93830000000003</v>
      </c>
      <c r="F350" s="21">
        <f>400-14.0617</f>
        <v>385.93830000000003</v>
      </c>
      <c r="G350" s="21">
        <v>0</v>
      </c>
      <c r="H350" s="133">
        <v>0</v>
      </c>
      <c r="I350" s="134"/>
      <c r="J350" s="134"/>
      <c r="K350" s="134"/>
      <c r="L350" s="135"/>
      <c r="M350" s="21">
        <v>0</v>
      </c>
      <c r="N350" s="21">
        <v>0</v>
      </c>
      <c r="O350" s="169" t="s">
        <v>37</v>
      </c>
    </row>
    <row r="351" spans="1:15" ht="33" customHeight="1" x14ac:dyDescent="0.3">
      <c r="A351" s="161"/>
      <c r="B351" s="137"/>
      <c r="C351" s="161"/>
      <c r="D351" s="50" t="s">
        <v>12</v>
      </c>
      <c r="E351" s="21">
        <f>F351+G351+H351+M351+N351</f>
        <v>0</v>
      </c>
      <c r="F351" s="21">
        <v>0</v>
      </c>
      <c r="G351" s="21">
        <v>0</v>
      </c>
      <c r="H351" s="133">
        <v>0</v>
      </c>
      <c r="I351" s="134"/>
      <c r="J351" s="134"/>
      <c r="K351" s="134"/>
      <c r="L351" s="135"/>
      <c r="M351" s="21">
        <v>0</v>
      </c>
      <c r="N351" s="21">
        <v>0</v>
      </c>
      <c r="O351" s="169"/>
    </row>
    <row r="352" spans="1:15" ht="28.5" customHeight="1" x14ac:dyDescent="0.3">
      <c r="A352" s="161"/>
      <c r="B352" s="137" t="s">
        <v>532</v>
      </c>
      <c r="C352" s="131" t="s">
        <v>101</v>
      </c>
      <c r="D352" s="131" t="s">
        <v>101</v>
      </c>
      <c r="E352" s="126" t="s">
        <v>102</v>
      </c>
      <c r="F352" s="126" t="s">
        <v>103</v>
      </c>
      <c r="G352" s="139" t="s">
        <v>501</v>
      </c>
      <c r="H352" s="132" t="s">
        <v>499</v>
      </c>
      <c r="I352" s="133" t="s">
        <v>332</v>
      </c>
      <c r="J352" s="134"/>
      <c r="K352" s="134"/>
      <c r="L352" s="135"/>
      <c r="M352" s="126" t="s">
        <v>105</v>
      </c>
      <c r="N352" s="126" t="s">
        <v>106</v>
      </c>
      <c r="O352" s="169"/>
    </row>
    <row r="353" spans="1:16" ht="23.25" customHeight="1" x14ac:dyDescent="0.3">
      <c r="A353" s="161"/>
      <c r="B353" s="137"/>
      <c r="C353" s="131"/>
      <c r="D353" s="131"/>
      <c r="E353" s="126"/>
      <c r="F353" s="126"/>
      <c r="G353" s="140"/>
      <c r="H353" s="126"/>
      <c r="I353" s="23" t="s">
        <v>327</v>
      </c>
      <c r="J353" s="23" t="s">
        <v>328</v>
      </c>
      <c r="K353" s="23" t="s">
        <v>329</v>
      </c>
      <c r="L353" s="23" t="s">
        <v>330</v>
      </c>
      <c r="M353" s="126"/>
      <c r="N353" s="126"/>
      <c r="O353" s="169"/>
    </row>
    <row r="354" spans="1:16" ht="30.75" customHeight="1" x14ac:dyDescent="0.3">
      <c r="A354" s="161"/>
      <c r="B354" s="137"/>
      <c r="C354" s="131"/>
      <c r="D354" s="131"/>
      <c r="E354" s="14">
        <v>261</v>
      </c>
      <c r="F354" s="14">
        <v>50</v>
      </c>
      <c r="G354" s="14">
        <v>211</v>
      </c>
      <c r="H354" s="14">
        <v>0</v>
      </c>
      <c r="I354" s="14">
        <v>0</v>
      </c>
      <c r="J354" s="14">
        <v>0</v>
      </c>
      <c r="K354" s="14">
        <v>0</v>
      </c>
      <c r="L354" s="14">
        <v>0</v>
      </c>
      <c r="M354" s="14">
        <v>0</v>
      </c>
      <c r="N354" s="14">
        <v>0</v>
      </c>
      <c r="O354" s="169"/>
      <c r="P354" s="47"/>
    </row>
    <row r="355" spans="1:16" ht="30" customHeight="1" x14ac:dyDescent="0.3">
      <c r="A355" s="146" t="s">
        <v>26</v>
      </c>
      <c r="B355" s="137" t="s">
        <v>338</v>
      </c>
      <c r="C355" s="161" t="s">
        <v>67</v>
      </c>
      <c r="D355" s="50" t="s">
        <v>8</v>
      </c>
      <c r="E355" s="21">
        <f>E356+E357+E358</f>
        <v>30537.467830000001</v>
      </c>
      <c r="F355" s="21">
        <f t="shared" ref="F355:N355" si="49">F356+F357+F358</f>
        <v>30537.467830000001</v>
      </c>
      <c r="G355" s="21">
        <f t="shared" si="49"/>
        <v>0</v>
      </c>
      <c r="H355" s="133">
        <f t="shared" si="49"/>
        <v>0</v>
      </c>
      <c r="I355" s="134"/>
      <c r="J355" s="134"/>
      <c r="K355" s="134"/>
      <c r="L355" s="135"/>
      <c r="M355" s="21">
        <f t="shared" si="49"/>
        <v>0</v>
      </c>
      <c r="N355" s="21">
        <f t="shared" si="49"/>
        <v>0</v>
      </c>
      <c r="O355" s="170" t="s">
        <v>95</v>
      </c>
    </row>
    <row r="356" spans="1:16" ht="33" customHeight="1" x14ac:dyDescent="0.3">
      <c r="A356" s="147"/>
      <c r="B356" s="137"/>
      <c r="C356" s="161"/>
      <c r="D356" s="50" t="s">
        <v>10</v>
      </c>
      <c r="E356" s="21">
        <f>F356+G356+H356+M356+N356</f>
        <v>0</v>
      </c>
      <c r="F356" s="21">
        <v>0</v>
      </c>
      <c r="G356" s="21">
        <v>0</v>
      </c>
      <c r="H356" s="133">
        <v>0</v>
      </c>
      <c r="I356" s="134"/>
      <c r="J356" s="134"/>
      <c r="K356" s="134"/>
      <c r="L356" s="135"/>
      <c r="M356" s="21">
        <v>0</v>
      </c>
      <c r="N356" s="21">
        <v>0</v>
      </c>
      <c r="O356" s="171"/>
    </row>
    <row r="357" spans="1:16" ht="47.25" customHeight="1" x14ac:dyDescent="0.3">
      <c r="A357" s="147"/>
      <c r="B357" s="137"/>
      <c r="C357" s="161"/>
      <c r="D357" s="50" t="s">
        <v>18</v>
      </c>
      <c r="E357" s="21">
        <f>E359</f>
        <v>30537.467830000001</v>
      </c>
      <c r="F357" s="21">
        <f t="shared" ref="F357:N357" si="50">F359</f>
        <v>30537.467830000001</v>
      </c>
      <c r="G357" s="21">
        <f t="shared" si="50"/>
        <v>0</v>
      </c>
      <c r="H357" s="133">
        <f t="shared" si="50"/>
        <v>0</v>
      </c>
      <c r="I357" s="134"/>
      <c r="J357" s="134"/>
      <c r="K357" s="134"/>
      <c r="L357" s="135"/>
      <c r="M357" s="21">
        <f t="shared" si="50"/>
        <v>0</v>
      </c>
      <c r="N357" s="21">
        <f t="shared" si="50"/>
        <v>0</v>
      </c>
      <c r="O357" s="171"/>
    </row>
    <row r="358" spans="1:16" ht="27" customHeight="1" x14ac:dyDescent="0.3">
      <c r="A358" s="147"/>
      <c r="B358" s="137"/>
      <c r="C358" s="161"/>
      <c r="D358" s="50" t="s">
        <v>12</v>
      </c>
      <c r="E358" s="21">
        <f>F358+G358+H358+M358+N358</f>
        <v>0</v>
      </c>
      <c r="F358" s="21">
        <v>0</v>
      </c>
      <c r="G358" s="21">
        <v>0</v>
      </c>
      <c r="H358" s="133">
        <v>0</v>
      </c>
      <c r="I358" s="134"/>
      <c r="J358" s="134"/>
      <c r="K358" s="134"/>
      <c r="L358" s="135"/>
      <c r="M358" s="21">
        <v>0</v>
      </c>
      <c r="N358" s="21">
        <v>0</v>
      </c>
      <c r="O358" s="171"/>
    </row>
    <row r="359" spans="1:16" ht="87.75" hidden="1" customHeight="1" x14ac:dyDescent="0.3">
      <c r="A359" s="148"/>
      <c r="B359" s="38" t="s">
        <v>94</v>
      </c>
      <c r="C359" s="43" t="s">
        <v>67</v>
      </c>
      <c r="D359" s="50" t="s">
        <v>18</v>
      </c>
      <c r="E359" s="21">
        <f>F359+G359+H359+M359+N359</f>
        <v>30537.467830000001</v>
      </c>
      <c r="F359" s="21">
        <v>30537.467830000001</v>
      </c>
      <c r="G359" s="21">
        <v>0</v>
      </c>
      <c r="H359" s="133">
        <v>0</v>
      </c>
      <c r="I359" s="134"/>
      <c r="J359" s="134"/>
      <c r="K359" s="134"/>
      <c r="L359" s="135"/>
      <c r="M359" s="21">
        <v>0</v>
      </c>
      <c r="N359" s="21">
        <v>0</v>
      </c>
      <c r="O359" s="172"/>
      <c r="P359" s="48"/>
    </row>
    <row r="360" spans="1:16" ht="28.5" customHeight="1" x14ac:dyDescent="0.3">
      <c r="A360" s="146"/>
      <c r="B360" s="137" t="s">
        <v>118</v>
      </c>
      <c r="C360" s="131" t="s">
        <v>101</v>
      </c>
      <c r="D360" s="131" t="s">
        <v>101</v>
      </c>
      <c r="E360" s="126" t="s">
        <v>102</v>
      </c>
      <c r="F360" s="126" t="s">
        <v>103</v>
      </c>
      <c r="G360" s="139" t="s">
        <v>501</v>
      </c>
      <c r="H360" s="132" t="s">
        <v>499</v>
      </c>
      <c r="I360" s="133" t="s">
        <v>332</v>
      </c>
      <c r="J360" s="134"/>
      <c r="K360" s="134"/>
      <c r="L360" s="135"/>
      <c r="M360" s="126" t="s">
        <v>105</v>
      </c>
      <c r="N360" s="126" t="s">
        <v>106</v>
      </c>
      <c r="O360" s="170"/>
    </row>
    <row r="361" spans="1:16" ht="23.25" customHeight="1" x14ac:dyDescent="0.3">
      <c r="A361" s="147"/>
      <c r="B361" s="137"/>
      <c r="C361" s="131"/>
      <c r="D361" s="131"/>
      <c r="E361" s="126"/>
      <c r="F361" s="126"/>
      <c r="G361" s="140"/>
      <c r="H361" s="126"/>
      <c r="I361" s="23" t="s">
        <v>327</v>
      </c>
      <c r="J361" s="23" t="s">
        <v>328</v>
      </c>
      <c r="K361" s="23" t="s">
        <v>329</v>
      </c>
      <c r="L361" s="23" t="s">
        <v>330</v>
      </c>
      <c r="M361" s="126"/>
      <c r="N361" s="126"/>
      <c r="O361" s="171"/>
    </row>
    <row r="362" spans="1:16" ht="30.75" customHeight="1" x14ac:dyDescent="0.3">
      <c r="A362" s="148"/>
      <c r="B362" s="137"/>
      <c r="C362" s="131"/>
      <c r="D362" s="131"/>
      <c r="E362" s="14">
        <v>5064</v>
      </c>
      <c r="F362" s="14">
        <v>5064</v>
      </c>
      <c r="G362" s="14">
        <v>0</v>
      </c>
      <c r="H362" s="14">
        <v>0</v>
      </c>
      <c r="I362" s="14">
        <v>0</v>
      </c>
      <c r="J362" s="14">
        <v>0</v>
      </c>
      <c r="K362" s="14">
        <v>0</v>
      </c>
      <c r="L362" s="14">
        <v>0</v>
      </c>
      <c r="M362" s="14">
        <v>0</v>
      </c>
      <c r="N362" s="14">
        <v>0</v>
      </c>
      <c r="O362" s="172"/>
    </row>
    <row r="363" spans="1:16" ht="25.5" customHeight="1" x14ac:dyDescent="0.3">
      <c r="A363" s="161" t="s">
        <v>27</v>
      </c>
      <c r="B363" s="137" t="s">
        <v>82</v>
      </c>
      <c r="C363" s="161" t="s">
        <v>67</v>
      </c>
      <c r="D363" s="37" t="s">
        <v>8</v>
      </c>
      <c r="E363" s="21">
        <f>E364</f>
        <v>0</v>
      </c>
      <c r="F363" s="21">
        <v>0</v>
      </c>
      <c r="G363" s="21">
        <f>G364</f>
        <v>0</v>
      </c>
      <c r="H363" s="133">
        <v>0</v>
      </c>
      <c r="I363" s="134"/>
      <c r="J363" s="134"/>
      <c r="K363" s="134"/>
      <c r="L363" s="135"/>
      <c r="M363" s="21">
        <v>0</v>
      </c>
      <c r="N363" s="21">
        <v>0</v>
      </c>
      <c r="O363" s="169"/>
    </row>
    <row r="364" spans="1:16" ht="37.5" customHeight="1" x14ac:dyDescent="0.3">
      <c r="A364" s="161"/>
      <c r="B364" s="137"/>
      <c r="C364" s="161"/>
      <c r="D364" s="50" t="s">
        <v>18</v>
      </c>
      <c r="E364" s="21">
        <f>G364</f>
        <v>0</v>
      </c>
      <c r="F364" s="21">
        <v>0</v>
      </c>
      <c r="G364" s="21">
        <v>0</v>
      </c>
      <c r="H364" s="133">
        <v>0</v>
      </c>
      <c r="I364" s="134"/>
      <c r="J364" s="134"/>
      <c r="K364" s="134"/>
      <c r="L364" s="135"/>
      <c r="M364" s="21">
        <v>0</v>
      </c>
      <c r="N364" s="21">
        <v>0</v>
      </c>
      <c r="O364" s="169"/>
    </row>
    <row r="365" spans="1:16" ht="75" customHeight="1" x14ac:dyDescent="0.3">
      <c r="A365" s="207" t="s">
        <v>28</v>
      </c>
      <c r="B365" s="38" t="s">
        <v>65</v>
      </c>
      <c r="C365" s="43" t="s">
        <v>67</v>
      </c>
      <c r="D365" s="50" t="s">
        <v>18</v>
      </c>
      <c r="E365" s="21">
        <v>0</v>
      </c>
      <c r="F365" s="21">
        <v>0</v>
      </c>
      <c r="G365" s="21">
        <v>0</v>
      </c>
      <c r="H365" s="133">
        <v>0</v>
      </c>
      <c r="I365" s="134"/>
      <c r="J365" s="134"/>
      <c r="K365" s="134"/>
      <c r="L365" s="135"/>
      <c r="M365" s="21">
        <v>0</v>
      </c>
      <c r="N365" s="21">
        <v>0</v>
      </c>
      <c r="O365" s="152" t="s">
        <v>57</v>
      </c>
      <c r="P365" s="48"/>
    </row>
    <row r="366" spans="1:16" ht="24" customHeight="1" x14ac:dyDescent="0.3">
      <c r="A366" s="207"/>
      <c r="B366" s="137" t="s">
        <v>533</v>
      </c>
      <c r="C366" s="131" t="s">
        <v>101</v>
      </c>
      <c r="D366" s="131" t="s">
        <v>101</v>
      </c>
      <c r="E366" s="126" t="s">
        <v>102</v>
      </c>
      <c r="F366" s="126" t="s">
        <v>103</v>
      </c>
      <c r="G366" s="139" t="s">
        <v>501</v>
      </c>
      <c r="H366" s="132" t="s">
        <v>499</v>
      </c>
      <c r="I366" s="133" t="s">
        <v>332</v>
      </c>
      <c r="J366" s="134"/>
      <c r="K366" s="134"/>
      <c r="L366" s="135"/>
      <c r="M366" s="126" t="s">
        <v>105</v>
      </c>
      <c r="N366" s="126" t="s">
        <v>106</v>
      </c>
      <c r="O366" s="152"/>
    </row>
    <row r="367" spans="1:16" ht="24" customHeight="1" x14ac:dyDescent="0.3">
      <c r="A367" s="207"/>
      <c r="B367" s="137"/>
      <c r="C367" s="131"/>
      <c r="D367" s="131"/>
      <c r="E367" s="126"/>
      <c r="F367" s="126"/>
      <c r="G367" s="140"/>
      <c r="H367" s="126"/>
      <c r="I367" s="23" t="s">
        <v>327</v>
      </c>
      <c r="J367" s="23" t="s">
        <v>328</v>
      </c>
      <c r="K367" s="23" t="s">
        <v>329</v>
      </c>
      <c r="L367" s="23" t="s">
        <v>330</v>
      </c>
      <c r="M367" s="126"/>
      <c r="N367" s="126"/>
      <c r="O367" s="152"/>
    </row>
    <row r="368" spans="1:16" ht="24" customHeight="1" x14ac:dyDescent="0.3">
      <c r="A368" s="207"/>
      <c r="B368" s="137"/>
      <c r="C368" s="131"/>
      <c r="D368" s="131"/>
      <c r="E368" s="14">
        <v>44</v>
      </c>
      <c r="F368" s="14">
        <v>19</v>
      </c>
      <c r="G368" s="14">
        <v>25</v>
      </c>
      <c r="H368" s="14">
        <v>0</v>
      </c>
      <c r="I368" s="14">
        <v>0</v>
      </c>
      <c r="J368" s="14">
        <v>0</v>
      </c>
      <c r="K368" s="14">
        <v>0</v>
      </c>
      <c r="L368" s="14">
        <v>0</v>
      </c>
      <c r="M368" s="14">
        <v>0</v>
      </c>
      <c r="N368" s="14">
        <v>0</v>
      </c>
      <c r="O368" s="152"/>
    </row>
    <row r="369" spans="1:16" ht="30.75" customHeight="1" x14ac:dyDescent="0.3">
      <c r="A369" s="138"/>
      <c r="B369" s="181" t="s">
        <v>325</v>
      </c>
      <c r="C369" s="138"/>
      <c r="D369" s="49" t="s">
        <v>308</v>
      </c>
      <c r="E369" s="16">
        <f t="shared" ref="E369:N370" si="51">SUM(E371:E372)</f>
        <v>30923.406130000003</v>
      </c>
      <c r="F369" s="16">
        <f t="shared" si="51"/>
        <v>30923.406130000003</v>
      </c>
      <c r="G369" s="51">
        <f t="shared" si="51"/>
        <v>0</v>
      </c>
      <c r="H369" s="149">
        <f t="shared" si="51"/>
        <v>0</v>
      </c>
      <c r="I369" s="150"/>
      <c r="J369" s="150"/>
      <c r="K369" s="150"/>
      <c r="L369" s="151"/>
      <c r="M369" s="16">
        <f t="shared" si="51"/>
        <v>0</v>
      </c>
      <c r="N369" s="16">
        <f t="shared" si="51"/>
        <v>0</v>
      </c>
      <c r="O369" s="144"/>
    </row>
    <row r="370" spans="1:16" ht="35.25" customHeight="1" x14ac:dyDescent="0.3">
      <c r="A370" s="138"/>
      <c r="B370" s="181"/>
      <c r="C370" s="138"/>
      <c r="D370" s="49" t="s">
        <v>10</v>
      </c>
      <c r="E370" s="16">
        <f t="shared" si="51"/>
        <v>0</v>
      </c>
      <c r="F370" s="16">
        <v>0</v>
      </c>
      <c r="G370" s="51">
        <v>0</v>
      </c>
      <c r="H370" s="149">
        <v>0</v>
      </c>
      <c r="I370" s="150"/>
      <c r="J370" s="150"/>
      <c r="K370" s="150"/>
      <c r="L370" s="151"/>
      <c r="M370" s="16">
        <v>0</v>
      </c>
      <c r="N370" s="16">
        <v>0</v>
      </c>
      <c r="O370" s="144"/>
    </row>
    <row r="371" spans="1:16" ht="39" customHeight="1" x14ac:dyDescent="0.3">
      <c r="A371" s="138"/>
      <c r="B371" s="181"/>
      <c r="C371" s="138"/>
      <c r="D371" s="49" t="s">
        <v>18</v>
      </c>
      <c r="E371" s="16">
        <f>SUM(F371:N371)</f>
        <v>30923.406130000003</v>
      </c>
      <c r="F371" s="16">
        <f>F348</f>
        <v>30923.406130000003</v>
      </c>
      <c r="G371" s="51">
        <f t="shared" ref="G371:N371" si="52">G348</f>
        <v>0</v>
      </c>
      <c r="H371" s="149">
        <f t="shared" si="52"/>
        <v>0</v>
      </c>
      <c r="I371" s="150"/>
      <c r="J371" s="150"/>
      <c r="K371" s="150"/>
      <c r="L371" s="151"/>
      <c r="M371" s="16">
        <f t="shared" si="52"/>
        <v>0</v>
      </c>
      <c r="N371" s="16">
        <f t="shared" si="52"/>
        <v>0</v>
      </c>
      <c r="O371" s="144"/>
    </row>
    <row r="372" spans="1:16" ht="27" customHeight="1" x14ac:dyDescent="0.3">
      <c r="A372" s="138"/>
      <c r="B372" s="181"/>
      <c r="C372" s="138"/>
      <c r="D372" s="49" t="s">
        <v>12</v>
      </c>
      <c r="E372" s="16">
        <f>SUM(F372:N372)</f>
        <v>0</v>
      </c>
      <c r="F372" s="16">
        <f>F349</f>
        <v>0</v>
      </c>
      <c r="G372" s="51">
        <f>G349</f>
        <v>0</v>
      </c>
      <c r="H372" s="149">
        <f>H349</f>
        <v>0</v>
      </c>
      <c r="I372" s="150"/>
      <c r="J372" s="150"/>
      <c r="K372" s="150"/>
      <c r="L372" s="151"/>
      <c r="M372" s="16">
        <f>M349</f>
        <v>0</v>
      </c>
      <c r="N372" s="16">
        <f>N349</f>
        <v>0</v>
      </c>
      <c r="O372" s="144"/>
    </row>
    <row r="373" spans="1:16" ht="34.5" customHeight="1" x14ac:dyDescent="0.3">
      <c r="A373" s="52"/>
      <c r="B373" s="138" t="s">
        <v>128</v>
      </c>
      <c r="C373" s="138"/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</row>
    <row r="374" spans="1:16" ht="27" customHeight="1" x14ac:dyDescent="0.3">
      <c r="A374" s="146" t="s">
        <v>6</v>
      </c>
      <c r="B374" s="128" t="s">
        <v>91</v>
      </c>
      <c r="C374" s="146" t="s">
        <v>67</v>
      </c>
      <c r="D374" s="37" t="s">
        <v>8</v>
      </c>
      <c r="E374" s="21">
        <f t="shared" ref="E374:N374" si="53">E375</f>
        <v>7563.2561600000008</v>
      </c>
      <c r="F374" s="26">
        <f t="shared" si="53"/>
        <v>574.30499999999995</v>
      </c>
      <c r="G374" s="26">
        <f t="shared" si="53"/>
        <v>868</v>
      </c>
      <c r="H374" s="133">
        <f t="shared" si="53"/>
        <v>4384.9511600000005</v>
      </c>
      <c r="I374" s="134"/>
      <c r="J374" s="134"/>
      <c r="K374" s="134"/>
      <c r="L374" s="135"/>
      <c r="M374" s="21">
        <f t="shared" si="53"/>
        <v>868</v>
      </c>
      <c r="N374" s="21">
        <f t="shared" si="53"/>
        <v>868</v>
      </c>
      <c r="O374" s="127"/>
    </row>
    <row r="375" spans="1:16" ht="43.5" customHeight="1" x14ac:dyDescent="0.3">
      <c r="A375" s="148"/>
      <c r="B375" s="130"/>
      <c r="C375" s="148"/>
      <c r="D375" s="53" t="s">
        <v>18</v>
      </c>
      <c r="E375" s="21">
        <f t="shared" ref="E375:N375" si="54">E377</f>
        <v>7563.2561600000008</v>
      </c>
      <c r="F375" s="26">
        <f t="shared" si="54"/>
        <v>574.30499999999995</v>
      </c>
      <c r="G375" s="26">
        <f t="shared" si="54"/>
        <v>868</v>
      </c>
      <c r="H375" s="133">
        <f t="shared" si="54"/>
        <v>4384.9511600000005</v>
      </c>
      <c r="I375" s="134"/>
      <c r="J375" s="134"/>
      <c r="K375" s="134"/>
      <c r="L375" s="135"/>
      <c r="M375" s="23">
        <f t="shared" si="54"/>
        <v>868</v>
      </c>
      <c r="N375" s="23">
        <f t="shared" si="54"/>
        <v>868</v>
      </c>
      <c r="O375" s="127"/>
    </row>
    <row r="376" spans="1:16" ht="64.5" customHeight="1" x14ac:dyDescent="0.3">
      <c r="A376" s="45" t="s">
        <v>13</v>
      </c>
      <c r="B376" s="38" t="s">
        <v>52</v>
      </c>
      <c r="C376" s="43" t="s">
        <v>67</v>
      </c>
      <c r="D376" s="38" t="s">
        <v>18</v>
      </c>
      <c r="E376" s="21">
        <v>0</v>
      </c>
      <c r="F376" s="21">
        <v>0</v>
      </c>
      <c r="G376" s="21">
        <v>0</v>
      </c>
      <c r="H376" s="133">
        <v>0</v>
      </c>
      <c r="I376" s="134"/>
      <c r="J376" s="134"/>
      <c r="K376" s="134"/>
      <c r="L376" s="135"/>
      <c r="M376" s="21">
        <v>0</v>
      </c>
      <c r="N376" s="21">
        <v>0</v>
      </c>
      <c r="O376" s="45" t="s">
        <v>57</v>
      </c>
    </row>
    <row r="377" spans="1:16" ht="63" customHeight="1" x14ac:dyDescent="0.3">
      <c r="A377" s="146" t="s">
        <v>16</v>
      </c>
      <c r="B377" s="38" t="s">
        <v>53</v>
      </c>
      <c r="C377" s="43" t="s">
        <v>67</v>
      </c>
      <c r="D377" s="38" t="s">
        <v>18</v>
      </c>
      <c r="E377" s="21">
        <f>SUM(F377:N377)</f>
        <v>7563.2561600000008</v>
      </c>
      <c r="F377" s="21">
        <v>574.30499999999995</v>
      </c>
      <c r="G377" s="21">
        <v>868</v>
      </c>
      <c r="H377" s="133">
        <f>825+721.2859+264.4+2718.52244-144.25718</f>
        <v>4384.9511600000005</v>
      </c>
      <c r="I377" s="134"/>
      <c r="J377" s="134"/>
      <c r="K377" s="134"/>
      <c r="L377" s="135"/>
      <c r="M377" s="21">
        <v>868</v>
      </c>
      <c r="N377" s="21">
        <v>868</v>
      </c>
      <c r="O377" s="153" t="s">
        <v>57</v>
      </c>
    </row>
    <row r="378" spans="1:16" ht="18.75" customHeight="1" x14ac:dyDescent="0.3">
      <c r="A378" s="147"/>
      <c r="B378" s="128" t="s">
        <v>281</v>
      </c>
      <c r="C378" s="131" t="s">
        <v>101</v>
      </c>
      <c r="D378" s="174" t="s">
        <v>101</v>
      </c>
      <c r="E378" s="145" t="s">
        <v>102</v>
      </c>
      <c r="F378" s="145" t="s">
        <v>103</v>
      </c>
      <c r="G378" s="139" t="s">
        <v>501</v>
      </c>
      <c r="H378" s="132" t="s">
        <v>499</v>
      </c>
      <c r="I378" s="133" t="s">
        <v>332</v>
      </c>
      <c r="J378" s="134"/>
      <c r="K378" s="134"/>
      <c r="L378" s="135"/>
      <c r="M378" s="145" t="s">
        <v>105</v>
      </c>
      <c r="N378" s="145" t="s">
        <v>106</v>
      </c>
      <c r="O378" s="154"/>
      <c r="P378" s="46"/>
    </row>
    <row r="379" spans="1:16" ht="18.75" customHeight="1" x14ac:dyDescent="0.3">
      <c r="A379" s="147"/>
      <c r="B379" s="129"/>
      <c r="C379" s="131"/>
      <c r="D379" s="175"/>
      <c r="E379" s="140"/>
      <c r="F379" s="140"/>
      <c r="G379" s="140"/>
      <c r="H379" s="126"/>
      <c r="I379" s="23" t="s">
        <v>327</v>
      </c>
      <c r="J379" s="23" t="s">
        <v>328</v>
      </c>
      <c r="K379" s="23" t="s">
        <v>329</v>
      </c>
      <c r="L379" s="23" t="s">
        <v>330</v>
      </c>
      <c r="M379" s="140"/>
      <c r="N379" s="140"/>
      <c r="O379" s="154"/>
    </row>
    <row r="380" spans="1:16" ht="23.25" customHeight="1" x14ac:dyDescent="0.3">
      <c r="A380" s="148"/>
      <c r="B380" s="130"/>
      <c r="C380" s="131"/>
      <c r="D380" s="176"/>
      <c r="E380" s="14">
        <v>100</v>
      </c>
      <c r="F380" s="17">
        <v>100</v>
      </c>
      <c r="G380" s="17">
        <v>100</v>
      </c>
      <c r="H380" s="17">
        <v>100</v>
      </c>
      <c r="I380" s="17">
        <v>0</v>
      </c>
      <c r="J380" s="17">
        <v>0</v>
      </c>
      <c r="K380" s="17">
        <v>0</v>
      </c>
      <c r="L380" s="17">
        <v>100</v>
      </c>
      <c r="M380" s="17">
        <v>100</v>
      </c>
      <c r="N380" s="17">
        <v>100</v>
      </c>
      <c r="O380" s="155"/>
    </row>
    <row r="381" spans="1:16" ht="41.25" customHeight="1" x14ac:dyDescent="0.3">
      <c r="A381" s="138"/>
      <c r="B381" s="181" t="s">
        <v>595</v>
      </c>
      <c r="C381" s="138"/>
      <c r="D381" s="54" t="s">
        <v>308</v>
      </c>
      <c r="E381" s="16">
        <f t="shared" ref="E381:N381" si="55">E382</f>
        <v>7563.2561600000008</v>
      </c>
      <c r="F381" s="16">
        <f t="shared" si="55"/>
        <v>574.30499999999995</v>
      </c>
      <c r="G381" s="51">
        <f t="shared" si="55"/>
        <v>868</v>
      </c>
      <c r="H381" s="149">
        <f t="shared" si="55"/>
        <v>4384.9511600000005</v>
      </c>
      <c r="I381" s="150"/>
      <c r="J381" s="150"/>
      <c r="K381" s="150"/>
      <c r="L381" s="151"/>
      <c r="M381" s="16">
        <f t="shared" si="55"/>
        <v>868</v>
      </c>
      <c r="N381" s="16">
        <f t="shared" si="55"/>
        <v>868</v>
      </c>
      <c r="O381" s="144"/>
    </row>
    <row r="382" spans="1:16" ht="45" customHeight="1" x14ac:dyDescent="0.3">
      <c r="A382" s="138"/>
      <c r="B382" s="181"/>
      <c r="C382" s="138"/>
      <c r="D382" s="40" t="s">
        <v>18</v>
      </c>
      <c r="E382" s="16">
        <f>E375</f>
        <v>7563.2561600000008</v>
      </c>
      <c r="F382" s="16">
        <f>F375</f>
        <v>574.30499999999995</v>
      </c>
      <c r="G382" s="51">
        <f>G375</f>
        <v>868</v>
      </c>
      <c r="H382" s="149">
        <f>H375</f>
        <v>4384.9511600000005</v>
      </c>
      <c r="I382" s="150"/>
      <c r="J382" s="150"/>
      <c r="K382" s="150"/>
      <c r="L382" s="151"/>
      <c r="M382" s="16">
        <f>M375</f>
        <v>868</v>
      </c>
      <c r="N382" s="16">
        <f>N375</f>
        <v>868</v>
      </c>
      <c r="O382" s="144"/>
    </row>
    <row r="383" spans="1:16" ht="27" customHeight="1" x14ac:dyDescent="0.3">
      <c r="A383" s="52"/>
      <c r="B383" s="138" t="s">
        <v>129</v>
      </c>
      <c r="C383" s="138"/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</row>
    <row r="384" spans="1:16" ht="27" customHeight="1" x14ac:dyDescent="0.3">
      <c r="A384" s="161" t="s">
        <v>6</v>
      </c>
      <c r="B384" s="137" t="s">
        <v>38</v>
      </c>
      <c r="C384" s="161" t="s">
        <v>67</v>
      </c>
      <c r="D384" s="37" t="s">
        <v>8</v>
      </c>
      <c r="E384" s="21">
        <f t="shared" ref="E384:N384" si="56">E385+E386</f>
        <v>18497.177230000001</v>
      </c>
      <c r="F384" s="21">
        <f t="shared" si="56"/>
        <v>2827.5251399999997</v>
      </c>
      <c r="G384" s="26">
        <f t="shared" si="56"/>
        <v>7845.9151299999994</v>
      </c>
      <c r="H384" s="133">
        <f t="shared" si="56"/>
        <v>4649.7369600000002</v>
      </c>
      <c r="I384" s="134"/>
      <c r="J384" s="134"/>
      <c r="K384" s="134"/>
      <c r="L384" s="135"/>
      <c r="M384" s="21">
        <f>M385+M386</f>
        <v>1587</v>
      </c>
      <c r="N384" s="21">
        <f t="shared" si="56"/>
        <v>1587</v>
      </c>
      <c r="O384" s="127"/>
    </row>
    <row r="385" spans="1:15" ht="33.75" customHeight="1" x14ac:dyDescent="0.3">
      <c r="A385" s="161"/>
      <c r="B385" s="137"/>
      <c r="C385" s="161"/>
      <c r="D385" s="53" t="s">
        <v>10</v>
      </c>
      <c r="E385" s="21">
        <f>F385+G385+H385+M385+N385</f>
        <v>0</v>
      </c>
      <c r="F385" s="21">
        <f>F388</f>
        <v>0</v>
      </c>
      <c r="G385" s="26">
        <f t="shared" ref="G385:N385" si="57">G388</f>
        <v>0</v>
      </c>
      <c r="H385" s="133">
        <f t="shared" si="57"/>
        <v>0</v>
      </c>
      <c r="I385" s="134"/>
      <c r="J385" s="134"/>
      <c r="K385" s="134"/>
      <c r="L385" s="135"/>
      <c r="M385" s="21">
        <f t="shared" si="57"/>
        <v>0</v>
      </c>
      <c r="N385" s="21">
        <f t="shared" si="57"/>
        <v>0</v>
      </c>
      <c r="O385" s="127"/>
    </row>
    <row r="386" spans="1:15" ht="35.25" customHeight="1" x14ac:dyDescent="0.3">
      <c r="A386" s="161"/>
      <c r="B386" s="137"/>
      <c r="C386" s="161"/>
      <c r="D386" s="53" t="s">
        <v>18</v>
      </c>
      <c r="E386" s="21">
        <f>SUM(F386:N386)</f>
        <v>18497.177230000001</v>
      </c>
      <c r="F386" s="21">
        <f>F389+F391</f>
        <v>2827.5251399999997</v>
      </c>
      <c r="G386" s="26">
        <f>G389+G391</f>
        <v>7845.9151299999994</v>
      </c>
      <c r="H386" s="133">
        <f>H389+H391</f>
        <v>4649.7369600000002</v>
      </c>
      <c r="I386" s="134"/>
      <c r="J386" s="134"/>
      <c r="K386" s="134"/>
      <c r="L386" s="135"/>
      <c r="M386" s="21">
        <f>M389+M391</f>
        <v>1587</v>
      </c>
      <c r="N386" s="21">
        <f>N389+N391</f>
        <v>1587</v>
      </c>
      <c r="O386" s="127"/>
    </row>
    <row r="387" spans="1:15" ht="26.25" customHeight="1" x14ac:dyDescent="0.3">
      <c r="A387" s="207" t="s">
        <v>13</v>
      </c>
      <c r="B387" s="137" t="s">
        <v>83</v>
      </c>
      <c r="C387" s="127" t="s">
        <v>67</v>
      </c>
      <c r="D387" s="50" t="s">
        <v>14</v>
      </c>
      <c r="E387" s="21">
        <f>F387+G387+H387</f>
        <v>0</v>
      </c>
      <c r="F387" s="21">
        <f>F388+F389</f>
        <v>0</v>
      </c>
      <c r="G387" s="21">
        <f>G388+G389</f>
        <v>0</v>
      </c>
      <c r="H387" s="133">
        <f>H388+H389</f>
        <v>0</v>
      </c>
      <c r="I387" s="134"/>
      <c r="J387" s="134"/>
      <c r="K387" s="134"/>
      <c r="L387" s="135"/>
      <c r="M387" s="21">
        <f>M388+M389</f>
        <v>0</v>
      </c>
      <c r="N387" s="21">
        <f>N388+N389</f>
        <v>0</v>
      </c>
      <c r="O387" s="127" t="s">
        <v>17</v>
      </c>
    </row>
    <row r="388" spans="1:15" ht="37.5" customHeight="1" x14ac:dyDescent="0.3">
      <c r="A388" s="207"/>
      <c r="B388" s="137"/>
      <c r="C388" s="127"/>
      <c r="D388" s="50" t="s">
        <v>10</v>
      </c>
      <c r="E388" s="21">
        <f>F388+G388+H388</f>
        <v>0</v>
      </c>
      <c r="F388" s="21">
        <v>0</v>
      </c>
      <c r="G388" s="21">
        <v>0</v>
      </c>
      <c r="H388" s="133">
        <v>0</v>
      </c>
      <c r="I388" s="134"/>
      <c r="J388" s="134"/>
      <c r="K388" s="134"/>
      <c r="L388" s="135"/>
      <c r="M388" s="21">
        <v>0</v>
      </c>
      <c r="N388" s="21">
        <v>0</v>
      </c>
      <c r="O388" s="127"/>
    </row>
    <row r="389" spans="1:15" ht="36.75" customHeight="1" x14ac:dyDescent="0.3">
      <c r="A389" s="207"/>
      <c r="B389" s="137"/>
      <c r="C389" s="127"/>
      <c r="D389" s="50" t="s">
        <v>18</v>
      </c>
      <c r="E389" s="21">
        <f>SUM(F389:N389)</f>
        <v>0</v>
      </c>
      <c r="F389" s="21">
        <v>0</v>
      </c>
      <c r="G389" s="21">
        <v>0</v>
      </c>
      <c r="H389" s="133">
        <v>0</v>
      </c>
      <c r="I389" s="134"/>
      <c r="J389" s="134"/>
      <c r="K389" s="134"/>
      <c r="L389" s="135"/>
      <c r="M389" s="21">
        <v>0</v>
      </c>
      <c r="N389" s="21">
        <v>0</v>
      </c>
      <c r="O389" s="127"/>
    </row>
    <row r="390" spans="1:15" ht="93" customHeight="1" x14ac:dyDescent="0.3">
      <c r="A390" s="55" t="s">
        <v>16</v>
      </c>
      <c r="B390" s="38" t="s">
        <v>84</v>
      </c>
      <c r="C390" s="45" t="s">
        <v>67</v>
      </c>
      <c r="D390" s="50" t="s">
        <v>18</v>
      </c>
      <c r="E390" s="21">
        <f>F390+G390+H390+M390+N390</f>
        <v>0</v>
      </c>
      <c r="F390" s="21">
        <v>0</v>
      </c>
      <c r="G390" s="21">
        <v>0</v>
      </c>
      <c r="H390" s="133">
        <v>0</v>
      </c>
      <c r="I390" s="134"/>
      <c r="J390" s="134"/>
      <c r="K390" s="134"/>
      <c r="L390" s="135"/>
      <c r="M390" s="21">
        <v>0</v>
      </c>
      <c r="N390" s="21">
        <v>0</v>
      </c>
      <c r="O390" s="45" t="s">
        <v>17</v>
      </c>
    </row>
    <row r="391" spans="1:15" ht="85.5" customHeight="1" x14ac:dyDescent="0.3">
      <c r="A391" s="55" t="s">
        <v>22</v>
      </c>
      <c r="B391" s="38" t="s">
        <v>85</v>
      </c>
      <c r="C391" s="45" t="s">
        <v>67</v>
      </c>
      <c r="D391" s="50" t="s">
        <v>18</v>
      </c>
      <c r="E391" s="21">
        <f>SUM(F391:N391)</f>
        <v>18497.177230000001</v>
      </c>
      <c r="F391" s="26">
        <f>F392+F2354+F393+F394+F395</f>
        <v>2827.5251399999997</v>
      </c>
      <c r="G391" s="26">
        <f>G392+G393+G396+G397</f>
        <v>7845.9151299999994</v>
      </c>
      <c r="H391" s="133">
        <f>H392+H393+H396</f>
        <v>4649.7369600000002</v>
      </c>
      <c r="I391" s="134"/>
      <c r="J391" s="134"/>
      <c r="K391" s="134"/>
      <c r="L391" s="135"/>
      <c r="M391" s="21">
        <f t="shared" ref="M391:N391" si="58">M392</f>
        <v>1587</v>
      </c>
      <c r="N391" s="21">
        <f t="shared" si="58"/>
        <v>1587</v>
      </c>
      <c r="O391" s="45" t="s">
        <v>17</v>
      </c>
    </row>
    <row r="392" spans="1:15" ht="58.5" hidden="1" customHeight="1" x14ac:dyDescent="0.3">
      <c r="A392" s="56" t="s">
        <v>126</v>
      </c>
      <c r="B392" s="57" t="s">
        <v>62</v>
      </c>
      <c r="C392" s="30" t="s">
        <v>67</v>
      </c>
      <c r="D392" s="50" t="s">
        <v>18</v>
      </c>
      <c r="E392" s="21">
        <f>SUM(F392:N392)</f>
        <v>7913.1734400000005</v>
      </c>
      <c r="F392" s="26">
        <f>1327+153.8768</f>
        <v>1480.8768</v>
      </c>
      <c r="G392" s="26">
        <f>1481+54.15328+73.4064</f>
        <v>1608.5596800000001</v>
      </c>
      <c r="H392" s="133">
        <f>1508+141.73696</f>
        <v>1649.73696</v>
      </c>
      <c r="I392" s="134"/>
      <c r="J392" s="134"/>
      <c r="K392" s="134"/>
      <c r="L392" s="135"/>
      <c r="M392" s="21">
        <v>1587</v>
      </c>
      <c r="N392" s="21">
        <v>1587</v>
      </c>
      <c r="O392" s="30" t="s">
        <v>17</v>
      </c>
    </row>
    <row r="393" spans="1:15" ht="38.25" hidden="1" customHeight="1" x14ac:dyDescent="0.3">
      <c r="A393" s="55" t="s">
        <v>127</v>
      </c>
      <c r="B393" s="38" t="s">
        <v>100</v>
      </c>
      <c r="C393" s="45" t="s">
        <v>67</v>
      </c>
      <c r="D393" s="50" t="s">
        <v>18</v>
      </c>
      <c r="E393" s="21">
        <f>F393+G393+H393+M393+N393</f>
        <v>6468.4434299999994</v>
      </c>
      <c r="F393" s="21">
        <f>1202.907-77.15235</f>
        <v>1125.7546499999999</v>
      </c>
      <c r="G393" s="26">
        <f>2500-207.31122+50</f>
        <v>2342.68878</v>
      </c>
      <c r="H393" s="133">
        <v>3000</v>
      </c>
      <c r="I393" s="134"/>
      <c r="J393" s="134"/>
      <c r="K393" s="134"/>
      <c r="L393" s="135"/>
      <c r="M393" s="21">
        <v>0</v>
      </c>
      <c r="N393" s="21">
        <v>0</v>
      </c>
      <c r="O393" s="45" t="s">
        <v>17</v>
      </c>
    </row>
    <row r="394" spans="1:15" ht="51" hidden="1" customHeight="1" x14ac:dyDescent="0.3">
      <c r="A394" s="55" t="s">
        <v>125</v>
      </c>
      <c r="B394" s="38" t="s">
        <v>61</v>
      </c>
      <c r="C394" s="45" t="s">
        <v>67</v>
      </c>
      <c r="D394" s="50" t="s">
        <v>18</v>
      </c>
      <c r="E394" s="21">
        <v>0</v>
      </c>
      <c r="F394" s="21">
        <v>0</v>
      </c>
      <c r="G394" s="26">
        <v>0</v>
      </c>
      <c r="H394" s="133">
        <v>0</v>
      </c>
      <c r="I394" s="134"/>
      <c r="J394" s="134"/>
      <c r="K394" s="134"/>
      <c r="L394" s="135"/>
      <c r="M394" s="21">
        <v>0</v>
      </c>
      <c r="N394" s="21">
        <v>0</v>
      </c>
      <c r="O394" s="45" t="s">
        <v>17</v>
      </c>
    </row>
    <row r="395" spans="1:15" ht="51" hidden="1" customHeight="1" x14ac:dyDescent="0.3">
      <c r="A395" s="55" t="s">
        <v>278</v>
      </c>
      <c r="B395" s="38" t="s">
        <v>283</v>
      </c>
      <c r="C395" s="45" t="s">
        <v>67</v>
      </c>
      <c r="D395" s="50" t="s">
        <v>18</v>
      </c>
      <c r="E395" s="21">
        <f>F395+G395+H395+M395+N395</f>
        <v>220.89368999999999</v>
      </c>
      <c r="F395" s="21">
        <v>220.89368999999999</v>
      </c>
      <c r="G395" s="26">
        <v>0</v>
      </c>
      <c r="H395" s="133">
        <v>0</v>
      </c>
      <c r="I395" s="134"/>
      <c r="J395" s="134"/>
      <c r="K395" s="134"/>
      <c r="L395" s="135"/>
      <c r="M395" s="21">
        <v>0</v>
      </c>
      <c r="N395" s="21">
        <v>0</v>
      </c>
      <c r="O395" s="45" t="s">
        <v>17</v>
      </c>
    </row>
    <row r="396" spans="1:15" ht="51" hidden="1" customHeight="1" x14ac:dyDescent="0.3">
      <c r="A396" s="55" t="s">
        <v>358</v>
      </c>
      <c r="B396" s="38" t="s">
        <v>359</v>
      </c>
      <c r="C396" s="45" t="s">
        <v>67</v>
      </c>
      <c r="D396" s="50" t="s">
        <v>18</v>
      </c>
      <c r="E396" s="21">
        <f>F396+G396+H396+M396+N396</f>
        <v>3450</v>
      </c>
      <c r="F396" s="21">
        <v>0</v>
      </c>
      <c r="G396" s="26">
        <v>3450</v>
      </c>
      <c r="H396" s="133">
        <f>1000.423-1000.423</f>
        <v>0</v>
      </c>
      <c r="I396" s="134"/>
      <c r="J396" s="134"/>
      <c r="K396" s="134"/>
      <c r="L396" s="135"/>
      <c r="M396" s="21">
        <v>0</v>
      </c>
      <c r="N396" s="21">
        <v>0</v>
      </c>
      <c r="O396" s="45" t="s">
        <v>17</v>
      </c>
    </row>
    <row r="397" spans="1:15" ht="108" hidden="1" customHeight="1" x14ac:dyDescent="0.3">
      <c r="A397" s="55" t="s">
        <v>456</v>
      </c>
      <c r="B397" s="38" t="s">
        <v>457</v>
      </c>
      <c r="C397" s="45" t="s">
        <v>67</v>
      </c>
      <c r="D397" s="50" t="s">
        <v>18</v>
      </c>
      <c r="E397" s="21">
        <f>F397+G397+H397+M397+N397</f>
        <v>444.66667000000001</v>
      </c>
      <c r="F397" s="21">
        <v>0</v>
      </c>
      <c r="G397" s="26">
        <v>444.66667000000001</v>
      </c>
      <c r="H397" s="133">
        <v>0</v>
      </c>
      <c r="I397" s="134"/>
      <c r="J397" s="134"/>
      <c r="K397" s="134"/>
      <c r="L397" s="135"/>
      <c r="M397" s="21">
        <v>0</v>
      </c>
      <c r="N397" s="21">
        <v>0</v>
      </c>
      <c r="O397" s="45" t="s">
        <v>17</v>
      </c>
    </row>
    <row r="398" spans="1:15" ht="32.25" customHeight="1" x14ac:dyDescent="0.3">
      <c r="A398" s="138"/>
      <c r="B398" s="181" t="s">
        <v>320</v>
      </c>
      <c r="C398" s="138"/>
      <c r="D398" s="49" t="s">
        <v>308</v>
      </c>
      <c r="E398" s="16">
        <f>E399+E400</f>
        <v>18497.177230000001</v>
      </c>
      <c r="F398" s="16">
        <f t="shared" ref="F398:N398" si="59">F399+F400</f>
        <v>2827.5251399999997</v>
      </c>
      <c r="G398" s="51">
        <f t="shared" si="59"/>
        <v>7845.9151299999994</v>
      </c>
      <c r="H398" s="149">
        <f t="shared" si="59"/>
        <v>4649.7369600000002</v>
      </c>
      <c r="I398" s="150"/>
      <c r="J398" s="150"/>
      <c r="K398" s="150"/>
      <c r="L398" s="151"/>
      <c r="M398" s="16">
        <f t="shared" si="59"/>
        <v>1587</v>
      </c>
      <c r="N398" s="16">
        <f t="shared" si="59"/>
        <v>1587</v>
      </c>
      <c r="O398" s="144"/>
    </row>
    <row r="399" spans="1:15" ht="35.25" customHeight="1" x14ac:dyDescent="0.3">
      <c r="A399" s="138"/>
      <c r="B399" s="181"/>
      <c r="C399" s="138"/>
      <c r="D399" s="40" t="s">
        <v>10</v>
      </c>
      <c r="E399" s="16">
        <f t="shared" ref="E399:G400" si="60">E385</f>
        <v>0</v>
      </c>
      <c r="F399" s="16">
        <f t="shared" si="60"/>
        <v>0</v>
      </c>
      <c r="G399" s="51">
        <f t="shared" si="60"/>
        <v>0</v>
      </c>
      <c r="H399" s="149">
        <f t="shared" ref="H399:N400" si="61">H385</f>
        <v>0</v>
      </c>
      <c r="I399" s="150"/>
      <c r="J399" s="150"/>
      <c r="K399" s="150"/>
      <c r="L399" s="151"/>
      <c r="M399" s="16">
        <f t="shared" si="61"/>
        <v>0</v>
      </c>
      <c r="N399" s="16">
        <f t="shared" si="61"/>
        <v>0</v>
      </c>
      <c r="O399" s="144"/>
    </row>
    <row r="400" spans="1:15" ht="37.5" customHeight="1" x14ac:dyDescent="0.3">
      <c r="A400" s="138"/>
      <c r="B400" s="181"/>
      <c r="C400" s="138"/>
      <c r="D400" s="40" t="s">
        <v>18</v>
      </c>
      <c r="E400" s="16">
        <f t="shared" si="60"/>
        <v>18497.177230000001</v>
      </c>
      <c r="F400" s="16">
        <f t="shared" si="60"/>
        <v>2827.5251399999997</v>
      </c>
      <c r="G400" s="51">
        <f t="shared" si="60"/>
        <v>7845.9151299999994</v>
      </c>
      <c r="H400" s="149">
        <f t="shared" si="61"/>
        <v>4649.7369600000002</v>
      </c>
      <c r="I400" s="150"/>
      <c r="J400" s="150"/>
      <c r="K400" s="150"/>
      <c r="L400" s="151"/>
      <c r="M400" s="16">
        <f t="shared" si="61"/>
        <v>1587</v>
      </c>
      <c r="N400" s="16">
        <f t="shared" si="61"/>
        <v>1587</v>
      </c>
      <c r="O400" s="144"/>
    </row>
    <row r="401" spans="1:16" ht="27" customHeight="1" x14ac:dyDescent="0.3">
      <c r="A401" s="138" t="s">
        <v>130</v>
      </c>
      <c r="B401" s="138"/>
      <c r="C401" s="138"/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</row>
    <row r="402" spans="1:16" ht="28.5" customHeight="1" x14ac:dyDescent="0.3">
      <c r="A402" s="127" t="s">
        <v>6</v>
      </c>
      <c r="B402" s="137" t="s">
        <v>86</v>
      </c>
      <c r="C402" s="127" t="s">
        <v>67</v>
      </c>
      <c r="D402" s="38" t="s">
        <v>8</v>
      </c>
      <c r="E402" s="24">
        <f>E403+E404</f>
        <v>4273522.6068799999</v>
      </c>
      <c r="F402" s="24">
        <f t="shared" ref="F402:M402" si="62">F403+F404</f>
        <v>1074800</v>
      </c>
      <c r="G402" s="24">
        <f t="shared" si="62"/>
        <v>1752489.6942099999</v>
      </c>
      <c r="H402" s="141">
        <f t="shared" si="62"/>
        <v>1332406.91267</v>
      </c>
      <c r="I402" s="142"/>
      <c r="J402" s="142"/>
      <c r="K402" s="142"/>
      <c r="L402" s="143"/>
      <c r="M402" s="24">
        <f t="shared" si="62"/>
        <v>109746</v>
      </c>
      <c r="N402" s="24">
        <f>N403+N404</f>
        <v>4080</v>
      </c>
      <c r="O402" s="152"/>
    </row>
    <row r="403" spans="1:16" ht="34.5" customHeight="1" x14ac:dyDescent="0.3">
      <c r="A403" s="127"/>
      <c r="B403" s="137"/>
      <c r="C403" s="127"/>
      <c r="D403" s="38" t="s">
        <v>10</v>
      </c>
      <c r="E403" s="24">
        <f>F403+G403+H403+M403+N403</f>
        <v>135626</v>
      </c>
      <c r="F403" s="24">
        <f>F406</f>
        <v>21800</v>
      </c>
      <c r="G403" s="24">
        <f>G406</f>
        <v>0</v>
      </c>
      <c r="H403" s="141">
        <f>H406+H448+H460</f>
        <v>0</v>
      </c>
      <c r="I403" s="142"/>
      <c r="J403" s="142"/>
      <c r="K403" s="142"/>
      <c r="L403" s="143"/>
      <c r="M403" s="24">
        <f>M448+M460</f>
        <v>109746</v>
      </c>
      <c r="N403" s="24">
        <f>N406+N411++N442+N448+N454+N460</f>
        <v>4080</v>
      </c>
      <c r="O403" s="152"/>
    </row>
    <row r="404" spans="1:16" ht="36.75" customHeight="1" x14ac:dyDescent="0.3">
      <c r="A404" s="127"/>
      <c r="B404" s="137"/>
      <c r="C404" s="127"/>
      <c r="D404" s="38" t="s">
        <v>18</v>
      </c>
      <c r="E404" s="24">
        <f>F404+G404+H404+M404+N404</f>
        <v>4137896.6068799999</v>
      </c>
      <c r="F404" s="24">
        <f>F412</f>
        <v>1053000</v>
      </c>
      <c r="G404" s="24">
        <f>G412</f>
        <v>1752489.6942099999</v>
      </c>
      <c r="H404" s="141">
        <f>H412</f>
        <v>1332406.91267</v>
      </c>
      <c r="I404" s="142"/>
      <c r="J404" s="142"/>
      <c r="K404" s="142"/>
      <c r="L404" s="143"/>
      <c r="M404" s="24">
        <v>0</v>
      </c>
      <c r="N404" s="24">
        <v>0</v>
      </c>
      <c r="O404" s="152"/>
    </row>
    <row r="405" spans="1:16" ht="42.75" customHeight="1" x14ac:dyDescent="0.3">
      <c r="A405" s="161" t="s">
        <v>13</v>
      </c>
      <c r="B405" s="137" t="s">
        <v>552</v>
      </c>
      <c r="C405" s="127" t="s">
        <v>67</v>
      </c>
      <c r="D405" s="38" t="s">
        <v>8</v>
      </c>
      <c r="E405" s="21">
        <f>E406</f>
        <v>21800</v>
      </c>
      <c r="F405" s="21">
        <f>F406</f>
        <v>21800</v>
      </c>
      <c r="G405" s="21">
        <f>G406</f>
        <v>0</v>
      </c>
      <c r="H405" s="126">
        <f t="shared" ref="H405" si="63">H406</f>
        <v>0</v>
      </c>
      <c r="I405" s="126"/>
      <c r="J405" s="126"/>
      <c r="K405" s="126"/>
      <c r="L405" s="126"/>
      <c r="M405" s="21">
        <f t="shared" ref="M405" si="64">M406</f>
        <v>0</v>
      </c>
      <c r="N405" s="21">
        <f t="shared" ref="N405" si="65">N406</f>
        <v>0</v>
      </c>
      <c r="O405" s="127" t="s">
        <v>17</v>
      </c>
    </row>
    <row r="406" spans="1:16" ht="376.5" customHeight="1" x14ac:dyDescent="0.3">
      <c r="A406" s="161"/>
      <c r="B406" s="137"/>
      <c r="C406" s="127"/>
      <c r="D406" s="38" t="s">
        <v>10</v>
      </c>
      <c r="E406" s="21">
        <f>F406+G406+H406+M406+N406</f>
        <v>21800</v>
      </c>
      <c r="F406" s="21">
        <v>21800</v>
      </c>
      <c r="G406" s="21">
        <v>0</v>
      </c>
      <c r="H406" s="126">
        <v>0</v>
      </c>
      <c r="I406" s="126"/>
      <c r="J406" s="126"/>
      <c r="K406" s="126"/>
      <c r="L406" s="126"/>
      <c r="M406" s="21">
        <v>0</v>
      </c>
      <c r="N406" s="21">
        <v>0</v>
      </c>
      <c r="O406" s="127"/>
    </row>
    <row r="407" spans="1:16" ht="42.75" customHeight="1" x14ac:dyDescent="0.3">
      <c r="A407" s="161"/>
      <c r="B407" s="137" t="s">
        <v>119</v>
      </c>
      <c r="C407" s="131" t="s">
        <v>101</v>
      </c>
      <c r="D407" s="131" t="s">
        <v>101</v>
      </c>
      <c r="E407" s="126" t="s">
        <v>102</v>
      </c>
      <c r="F407" s="126" t="s">
        <v>103</v>
      </c>
      <c r="G407" s="132" t="s">
        <v>501</v>
      </c>
      <c r="H407" s="132" t="s">
        <v>499</v>
      </c>
      <c r="I407" s="126" t="s">
        <v>332</v>
      </c>
      <c r="J407" s="126"/>
      <c r="K407" s="126"/>
      <c r="L407" s="126"/>
      <c r="M407" s="126" t="s">
        <v>105</v>
      </c>
      <c r="N407" s="126" t="s">
        <v>106</v>
      </c>
      <c r="O407" s="127"/>
    </row>
    <row r="408" spans="1:16" ht="42.75" customHeight="1" x14ac:dyDescent="0.3">
      <c r="A408" s="161"/>
      <c r="B408" s="137"/>
      <c r="C408" s="131"/>
      <c r="D408" s="131"/>
      <c r="E408" s="126"/>
      <c r="F408" s="126"/>
      <c r="G408" s="126"/>
      <c r="H408" s="126"/>
      <c r="I408" s="21" t="s">
        <v>327</v>
      </c>
      <c r="J408" s="21" t="s">
        <v>328</v>
      </c>
      <c r="K408" s="21" t="s">
        <v>329</v>
      </c>
      <c r="L408" s="21" t="s">
        <v>330</v>
      </c>
      <c r="M408" s="126"/>
      <c r="N408" s="126"/>
      <c r="O408" s="127"/>
    </row>
    <row r="409" spans="1:16" ht="42.75" customHeight="1" x14ac:dyDescent="0.3">
      <c r="A409" s="161"/>
      <c r="B409" s="137"/>
      <c r="C409" s="131"/>
      <c r="D409" s="131"/>
      <c r="E409" s="14">
        <v>21800</v>
      </c>
      <c r="F409" s="14">
        <v>21800</v>
      </c>
      <c r="G409" s="14">
        <v>0</v>
      </c>
      <c r="H409" s="14">
        <v>0</v>
      </c>
      <c r="I409" s="14">
        <v>0</v>
      </c>
      <c r="J409" s="14">
        <v>0</v>
      </c>
      <c r="K409" s="14">
        <v>0</v>
      </c>
      <c r="L409" s="14">
        <v>0</v>
      </c>
      <c r="M409" s="14">
        <v>0</v>
      </c>
      <c r="N409" s="14">
        <v>0</v>
      </c>
      <c r="O409" s="127"/>
    </row>
    <row r="410" spans="1:16" ht="27.75" customHeight="1" x14ac:dyDescent="0.3">
      <c r="A410" s="127" t="s">
        <v>16</v>
      </c>
      <c r="B410" s="137" t="s">
        <v>90</v>
      </c>
      <c r="C410" s="127" t="s">
        <v>67</v>
      </c>
      <c r="D410" s="38" t="s">
        <v>8</v>
      </c>
      <c r="E410" s="24">
        <f>F410+G410+H410+M410+N410</f>
        <v>4137896.6068799999</v>
      </c>
      <c r="F410" s="24">
        <f>F411+F412</f>
        <v>1053000</v>
      </c>
      <c r="G410" s="24">
        <f t="shared" ref="G410:N410" si="66">G411+G412</f>
        <v>1752489.6942099999</v>
      </c>
      <c r="H410" s="141">
        <f t="shared" si="66"/>
        <v>1332406.91267</v>
      </c>
      <c r="I410" s="142"/>
      <c r="J410" s="142"/>
      <c r="K410" s="142"/>
      <c r="L410" s="143"/>
      <c r="M410" s="24">
        <f t="shared" si="66"/>
        <v>0</v>
      </c>
      <c r="N410" s="24">
        <f t="shared" si="66"/>
        <v>0</v>
      </c>
      <c r="O410" s="152" t="s">
        <v>17</v>
      </c>
    </row>
    <row r="411" spans="1:16" ht="37.5" customHeight="1" x14ac:dyDescent="0.3">
      <c r="A411" s="127"/>
      <c r="B411" s="137"/>
      <c r="C411" s="127"/>
      <c r="D411" s="38" t="s">
        <v>10</v>
      </c>
      <c r="E411" s="24">
        <f>F411+G411+H411+M411+N411</f>
        <v>0</v>
      </c>
      <c r="F411" s="24">
        <v>0</v>
      </c>
      <c r="G411" s="24">
        <v>0</v>
      </c>
      <c r="H411" s="141">
        <v>0</v>
      </c>
      <c r="I411" s="142"/>
      <c r="J411" s="142"/>
      <c r="K411" s="142"/>
      <c r="L411" s="143"/>
      <c r="M411" s="24">
        <v>0</v>
      </c>
      <c r="N411" s="24">
        <v>0</v>
      </c>
      <c r="O411" s="152"/>
      <c r="P411" s="46"/>
    </row>
    <row r="412" spans="1:16" ht="37.5" customHeight="1" x14ac:dyDescent="0.3">
      <c r="A412" s="127"/>
      <c r="B412" s="137"/>
      <c r="C412" s="127"/>
      <c r="D412" s="38" t="s">
        <v>18</v>
      </c>
      <c r="E412" s="24">
        <f>E414+E422+E433</f>
        <v>4137896.6068799999</v>
      </c>
      <c r="F412" s="24">
        <f>F414+F422+F433</f>
        <v>1053000</v>
      </c>
      <c r="G412" s="24">
        <f>G414+G422+G433</f>
        <v>1752489.6942099999</v>
      </c>
      <c r="H412" s="141">
        <f>H414+H422+H433</f>
        <v>1332406.91267</v>
      </c>
      <c r="I412" s="142"/>
      <c r="J412" s="142"/>
      <c r="K412" s="142"/>
      <c r="L412" s="143"/>
      <c r="M412" s="24">
        <f>M414+M422+M433</f>
        <v>0</v>
      </c>
      <c r="N412" s="24">
        <f>N414+N422+N433</f>
        <v>0</v>
      </c>
      <c r="O412" s="152"/>
    </row>
    <row r="413" spans="1:16" ht="23.25" customHeight="1" x14ac:dyDescent="0.3">
      <c r="A413" s="127" t="s">
        <v>21</v>
      </c>
      <c r="B413" s="173" t="s">
        <v>432</v>
      </c>
      <c r="C413" s="127" t="s">
        <v>67</v>
      </c>
      <c r="D413" s="38" t="s">
        <v>8</v>
      </c>
      <c r="E413" s="24">
        <f>F413+G413+H413+M413+N413</f>
        <v>2664695.9068799997</v>
      </c>
      <c r="F413" s="24">
        <f>F414</f>
        <v>798000</v>
      </c>
      <c r="G413" s="24">
        <f>G414</f>
        <v>1127788.9942099999</v>
      </c>
      <c r="H413" s="132">
        <f>H414</f>
        <v>738906.91266999999</v>
      </c>
      <c r="I413" s="132"/>
      <c r="J413" s="132"/>
      <c r="K413" s="132"/>
      <c r="L413" s="132"/>
      <c r="M413" s="24">
        <f t="shared" ref="M413:N413" si="67">M414</f>
        <v>0</v>
      </c>
      <c r="N413" s="24">
        <f t="shared" si="67"/>
        <v>0</v>
      </c>
      <c r="O413" s="152" t="s">
        <v>17</v>
      </c>
    </row>
    <row r="414" spans="1:16" ht="37.5" customHeight="1" x14ac:dyDescent="0.3">
      <c r="A414" s="127"/>
      <c r="B414" s="173"/>
      <c r="C414" s="127"/>
      <c r="D414" s="50" t="s">
        <v>18</v>
      </c>
      <c r="E414" s="24">
        <f>E415+E416+E417</f>
        <v>2664695.9068800001</v>
      </c>
      <c r="F414" s="24">
        <f>F415+F416</f>
        <v>798000</v>
      </c>
      <c r="G414" s="24">
        <f>G415+G416+G417</f>
        <v>1127788.9942099999</v>
      </c>
      <c r="H414" s="132">
        <f>H415+H416</f>
        <v>738906.91266999999</v>
      </c>
      <c r="I414" s="132"/>
      <c r="J414" s="132"/>
      <c r="K414" s="132"/>
      <c r="L414" s="132"/>
      <c r="M414" s="24">
        <f t="shared" ref="M414:N414" si="68">M415+M416</f>
        <v>0</v>
      </c>
      <c r="N414" s="24">
        <f t="shared" si="68"/>
        <v>0</v>
      </c>
      <c r="O414" s="152"/>
    </row>
    <row r="415" spans="1:16" ht="177" customHeight="1" x14ac:dyDescent="0.3">
      <c r="A415" s="127"/>
      <c r="B415" s="38" t="s">
        <v>98</v>
      </c>
      <c r="C415" s="45" t="s">
        <v>67</v>
      </c>
      <c r="D415" s="38" t="s">
        <v>18</v>
      </c>
      <c r="E415" s="24">
        <f>F415+G415+H415+M415+N415</f>
        <v>798000</v>
      </c>
      <c r="F415" s="24">
        <f>773000+25000</f>
        <v>798000</v>
      </c>
      <c r="G415" s="24">
        <v>0</v>
      </c>
      <c r="H415" s="132">
        <v>0</v>
      </c>
      <c r="I415" s="132"/>
      <c r="J415" s="132"/>
      <c r="K415" s="132"/>
      <c r="L415" s="132"/>
      <c r="M415" s="24">
        <v>0</v>
      </c>
      <c r="N415" s="24">
        <v>0</v>
      </c>
      <c r="O415" s="152"/>
      <c r="P415" s="47"/>
    </row>
    <row r="416" spans="1:16" ht="75" customHeight="1" x14ac:dyDescent="0.3">
      <c r="A416" s="127"/>
      <c r="B416" s="38" t="s">
        <v>361</v>
      </c>
      <c r="C416" s="45" t="s">
        <v>67</v>
      </c>
      <c r="D416" s="38" t="s">
        <v>18</v>
      </c>
      <c r="E416" s="24">
        <f>F416+G416+H416+M416+N416</f>
        <v>1841906.91267</v>
      </c>
      <c r="F416" s="24">
        <v>0</v>
      </c>
      <c r="G416" s="24">
        <f>250000+200000+353000+200000+100000</f>
        <v>1103000</v>
      </c>
      <c r="H416" s="132">
        <f>155906.91267+250000+130000+203000</f>
        <v>738906.91266999999</v>
      </c>
      <c r="I416" s="132"/>
      <c r="J416" s="132"/>
      <c r="K416" s="132"/>
      <c r="L416" s="132"/>
      <c r="M416" s="24">
        <v>0</v>
      </c>
      <c r="N416" s="24">
        <v>0</v>
      </c>
      <c r="O416" s="152"/>
    </row>
    <row r="417" spans="1:15" ht="144" customHeight="1" x14ac:dyDescent="0.3">
      <c r="A417" s="127"/>
      <c r="B417" s="38" t="s">
        <v>492</v>
      </c>
      <c r="C417" s="45" t="s">
        <v>67</v>
      </c>
      <c r="D417" s="38" t="s">
        <v>18</v>
      </c>
      <c r="E417" s="24">
        <f>F417+G417+H417+M417+N417</f>
        <v>24788.994210000001</v>
      </c>
      <c r="F417" s="24">
        <v>0</v>
      </c>
      <c r="G417" s="24">
        <v>24788.994210000001</v>
      </c>
      <c r="H417" s="132">
        <v>0</v>
      </c>
      <c r="I417" s="132"/>
      <c r="J417" s="132"/>
      <c r="K417" s="132"/>
      <c r="L417" s="132"/>
      <c r="M417" s="24">
        <v>0</v>
      </c>
      <c r="N417" s="24">
        <v>0</v>
      </c>
      <c r="O417" s="152"/>
    </row>
    <row r="418" spans="1:15" ht="40.5" customHeight="1" x14ac:dyDescent="0.3">
      <c r="A418" s="127"/>
      <c r="B418" s="137" t="s">
        <v>136</v>
      </c>
      <c r="C418" s="131" t="s">
        <v>101</v>
      </c>
      <c r="D418" s="131" t="s">
        <v>101</v>
      </c>
      <c r="E418" s="126" t="s">
        <v>102</v>
      </c>
      <c r="F418" s="126" t="s">
        <v>103</v>
      </c>
      <c r="G418" s="132" t="s">
        <v>501</v>
      </c>
      <c r="H418" s="132" t="s">
        <v>499</v>
      </c>
      <c r="I418" s="126" t="s">
        <v>332</v>
      </c>
      <c r="J418" s="126"/>
      <c r="K418" s="126"/>
      <c r="L418" s="126"/>
      <c r="M418" s="126" t="s">
        <v>105</v>
      </c>
      <c r="N418" s="126" t="s">
        <v>106</v>
      </c>
      <c r="O418" s="152"/>
    </row>
    <row r="419" spans="1:15" ht="40.5" customHeight="1" x14ac:dyDescent="0.3">
      <c r="A419" s="127"/>
      <c r="B419" s="137"/>
      <c r="C419" s="131"/>
      <c r="D419" s="131"/>
      <c r="E419" s="126"/>
      <c r="F419" s="126"/>
      <c r="G419" s="126"/>
      <c r="H419" s="126"/>
      <c r="I419" s="21" t="s">
        <v>327</v>
      </c>
      <c r="J419" s="21" t="s">
        <v>328</v>
      </c>
      <c r="K419" s="21" t="s">
        <v>329</v>
      </c>
      <c r="L419" s="21" t="s">
        <v>330</v>
      </c>
      <c r="M419" s="126"/>
      <c r="N419" s="126"/>
      <c r="O419" s="152"/>
    </row>
    <row r="420" spans="1:15" ht="49.5" customHeight="1" x14ac:dyDescent="0.3">
      <c r="A420" s="127"/>
      <c r="B420" s="137"/>
      <c r="C420" s="131"/>
      <c r="D420" s="131"/>
      <c r="E420" s="14">
        <f>F420+G420+H420</f>
        <v>2664695.9042099998</v>
      </c>
      <c r="F420" s="14">
        <v>798000</v>
      </c>
      <c r="G420" s="14">
        <v>1127788.9942099999</v>
      </c>
      <c r="H420" s="14">
        <f>J420+K420+L420</f>
        <v>738906.90999999992</v>
      </c>
      <c r="I420" s="14">
        <v>0</v>
      </c>
      <c r="J420" s="14">
        <v>405906.91</v>
      </c>
      <c r="K420" s="14">
        <v>130000</v>
      </c>
      <c r="L420" s="14">
        <v>203000</v>
      </c>
      <c r="M420" s="14">
        <v>0</v>
      </c>
      <c r="N420" s="14">
        <v>0</v>
      </c>
      <c r="O420" s="152"/>
    </row>
    <row r="421" spans="1:15" ht="23.25" customHeight="1" x14ac:dyDescent="0.3">
      <c r="A421" s="127" t="s">
        <v>290</v>
      </c>
      <c r="B421" s="173" t="s">
        <v>433</v>
      </c>
      <c r="C421" s="127" t="s">
        <v>67</v>
      </c>
      <c r="D421" s="38" t="s">
        <v>8</v>
      </c>
      <c r="E421" s="24">
        <f>E423+E424+E425+E426+E427+E428</f>
        <v>1256320.7</v>
      </c>
      <c r="F421" s="24">
        <f>F423+F424+F425</f>
        <v>185000</v>
      </c>
      <c r="G421" s="24">
        <f>G422</f>
        <v>537820.69999999995</v>
      </c>
      <c r="H421" s="132">
        <f>H422</f>
        <v>533500</v>
      </c>
      <c r="I421" s="132"/>
      <c r="J421" s="132"/>
      <c r="K421" s="132"/>
      <c r="L421" s="132"/>
      <c r="M421" s="24">
        <f t="shared" ref="M421" si="69">M422</f>
        <v>0</v>
      </c>
      <c r="N421" s="24">
        <f t="shared" ref="N421" si="70">N422</f>
        <v>0</v>
      </c>
      <c r="O421" s="152" t="s">
        <v>17</v>
      </c>
    </row>
    <row r="422" spans="1:15" ht="37.5" customHeight="1" x14ac:dyDescent="0.3">
      <c r="A422" s="127"/>
      <c r="B422" s="173"/>
      <c r="C422" s="127"/>
      <c r="D422" s="50" t="s">
        <v>18</v>
      </c>
      <c r="E422" s="24">
        <f>E423+E424+E425+E426+E427+E428</f>
        <v>1256320.7</v>
      </c>
      <c r="F422" s="24">
        <f>F423+F424+F425</f>
        <v>185000</v>
      </c>
      <c r="G422" s="24">
        <f>G423+G424+G425+G426</f>
        <v>537820.69999999995</v>
      </c>
      <c r="H422" s="132">
        <f>H423+H424+H425+H426+H427+H428</f>
        <v>533500</v>
      </c>
      <c r="I422" s="132"/>
      <c r="J422" s="132"/>
      <c r="K422" s="132"/>
      <c r="L422" s="132"/>
      <c r="M422" s="24">
        <f t="shared" ref="M422:N422" si="71">M423+M424+M425</f>
        <v>0</v>
      </c>
      <c r="N422" s="24">
        <f t="shared" si="71"/>
        <v>0</v>
      </c>
      <c r="O422" s="152"/>
    </row>
    <row r="423" spans="1:15" ht="107.25" customHeight="1" x14ac:dyDescent="0.3">
      <c r="A423" s="127"/>
      <c r="B423" s="38" t="s">
        <v>288</v>
      </c>
      <c r="C423" s="45" t="s">
        <v>67</v>
      </c>
      <c r="D423" s="38" t="s">
        <v>18</v>
      </c>
      <c r="E423" s="24">
        <f t="shared" ref="E423:E427" si="72">F423+G423+H423+M423+N423</f>
        <v>185000</v>
      </c>
      <c r="F423" s="24">
        <v>185000</v>
      </c>
      <c r="G423" s="24">
        <v>0</v>
      </c>
      <c r="H423" s="132">
        <v>0</v>
      </c>
      <c r="I423" s="132"/>
      <c r="J423" s="132"/>
      <c r="K423" s="132"/>
      <c r="L423" s="132"/>
      <c r="M423" s="24">
        <v>0</v>
      </c>
      <c r="N423" s="24">
        <v>0</v>
      </c>
      <c r="O423" s="152"/>
    </row>
    <row r="424" spans="1:15" ht="110.25" customHeight="1" x14ac:dyDescent="0.3">
      <c r="A424" s="127"/>
      <c r="B424" s="38" t="s">
        <v>360</v>
      </c>
      <c r="C424" s="45" t="s">
        <v>67</v>
      </c>
      <c r="D424" s="38" t="s">
        <v>18</v>
      </c>
      <c r="E424" s="24">
        <f t="shared" si="72"/>
        <v>347000</v>
      </c>
      <c r="F424" s="24">
        <v>0</v>
      </c>
      <c r="G424" s="24">
        <f>150000+50000+147000</f>
        <v>347000</v>
      </c>
      <c r="H424" s="132">
        <v>0</v>
      </c>
      <c r="I424" s="132"/>
      <c r="J424" s="132"/>
      <c r="K424" s="132"/>
      <c r="L424" s="132"/>
      <c r="M424" s="24">
        <v>0</v>
      </c>
      <c r="N424" s="24">
        <v>0</v>
      </c>
      <c r="O424" s="152"/>
    </row>
    <row r="425" spans="1:15" ht="110.25" customHeight="1" x14ac:dyDescent="0.3">
      <c r="A425" s="127"/>
      <c r="B425" s="38" t="s">
        <v>431</v>
      </c>
      <c r="C425" s="45" t="s">
        <v>67</v>
      </c>
      <c r="D425" s="38" t="s">
        <v>18</v>
      </c>
      <c r="E425" s="24">
        <f t="shared" si="72"/>
        <v>103000</v>
      </c>
      <c r="F425" s="24">
        <v>0</v>
      </c>
      <c r="G425" s="24">
        <v>103000</v>
      </c>
      <c r="H425" s="132">
        <v>0</v>
      </c>
      <c r="I425" s="132"/>
      <c r="J425" s="132"/>
      <c r="K425" s="132"/>
      <c r="L425" s="132"/>
      <c r="M425" s="24">
        <v>0</v>
      </c>
      <c r="N425" s="24">
        <v>0</v>
      </c>
      <c r="O425" s="152"/>
    </row>
    <row r="426" spans="1:15" ht="144" customHeight="1" x14ac:dyDescent="0.3">
      <c r="A426" s="127"/>
      <c r="B426" s="38" t="s">
        <v>493</v>
      </c>
      <c r="C426" s="45" t="s">
        <v>67</v>
      </c>
      <c r="D426" s="38" t="s">
        <v>18</v>
      </c>
      <c r="E426" s="24">
        <f t="shared" si="72"/>
        <v>87820.7</v>
      </c>
      <c r="F426" s="24">
        <v>0</v>
      </c>
      <c r="G426" s="24">
        <v>87820.7</v>
      </c>
      <c r="H426" s="132">
        <v>0</v>
      </c>
      <c r="I426" s="132"/>
      <c r="J426" s="132"/>
      <c r="K426" s="132"/>
      <c r="L426" s="132"/>
      <c r="M426" s="24">
        <v>0</v>
      </c>
      <c r="N426" s="24">
        <v>0</v>
      </c>
      <c r="O426" s="152"/>
    </row>
    <row r="427" spans="1:15" ht="64.5" customHeight="1" x14ac:dyDescent="0.3">
      <c r="A427" s="127"/>
      <c r="B427" s="38" t="s">
        <v>556</v>
      </c>
      <c r="C427" s="45" t="s">
        <v>67</v>
      </c>
      <c r="D427" s="38" t="s">
        <v>18</v>
      </c>
      <c r="E427" s="24">
        <f t="shared" si="72"/>
        <v>237000</v>
      </c>
      <c r="F427" s="24">
        <v>0</v>
      </c>
      <c r="G427" s="24">
        <v>0</v>
      </c>
      <c r="H427" s="132">
        <f>150000+87000</f>
        <v>237000</v>
      </c>
      <c r="I427" s="132"/>
      <c r="J427" s="132"/>
      <c r="K427" s="132"/>
      <c r="L427" s="132"/>
      <c r="M427" s="24">
        <v>0</v>
      </c>
      <c r="N427" s="24">
        <v>0</v>
      </c>
      <c r="O427" s="152"/>
    </row>
    <row r="428" spans="1:15" ht="64.5" customHeight="1" x14ac:dyDescent="0.3">
      <c r="A428" s="127"/>
      <c r="B428" s="38" t="s">
        <v>563</v>
      </c>
      <c r="C428" s="45" t="s">
        <v>67</v>
      </c>
      <c r="D428" s="38" t="s">
        <v>18</v>
      </c>
      <c r="E428" s="24">
        <f>F428+G428+H428+M428+N428</f>
        <v>296500</v>
      </c>
      <c r="F428" s="24">
        <v>0</v>
      </c>
      <c r="G428" s="24">
        <v>0</v>
      </c>
      <c r="H428" s="132">
        <f>170000+126500</f>
        <v>296500</v>
      </c>
      <c r="I428" s="132"/>
      <c r="J428" s="132"/>
      <c r="K428" s="132"/>
      <c r="L428" s="132"/>
      <c r="M428" s="24">
        <v>0</v>
      </c>
      <c r="N428" s="24">
        <v>0</v>
      </c>
      <c r="O428" s="152"/>
    </row>
    <row r="429" spans="1:15" ht="40.5" customHeight="1" x14ac:dyDescent="0.3">
      <c r="A429" s="127"/>
      <c r="B429" s="137" t="s">
        <v>136</v>
      </c>
      <c r="C429" s="131" t="s">
        <v>101</v>
      </c>
      <c r="D429" s="131" t="s">
        <v>101</v>
      </c>
      <c r="E429" s="126" t="s">
        <v>102</v>
      </c>
      <c r="F429" s="126" t="s">
        <v>103</v>
      </c>
      <c r="G429" s="132" t="s">
        <v>501</v>
      </c>
      <c r="H429" s="132" t="s">
        <v>499</v>
      </c>
      <c r="I429" s="126" t="s">
        <v>332</v>
      </c>
      <c r="J429" s="126"/>
      <c r="K429" s="126"/>
      <c r="L429" s="126"/>
      <c r="M429" s="126" t="s">
        <v>105</v>
      </c>
      <c r="N429" s="126" t="s">
        <v>106</v>
      </c>
      <c r="O429" s="152"/>
    </row>
    <row r="430" spans="1:15" ht="40.5" customHeight="1" x14ac:dyDescent="0.3">
      <c r="A430" s="127"/>
      <c r="B430" s="137"/>
      <c r="C430" s="131"/>
      <c r="D430" s="131"/>
      <c r="E430" s="126"/>
      <c r="F430" s="126"/>
      <c r="G430" s="126"/>
      <c r="H430" s="126"/>
      <c r="I430" s="21" t="s">
        <v>327</v>
      </c>
      <c r="J430" s="21" t="s">
        <v>328</v>
      </c>
      <c r="K430" s="21" t="s">
        <v>329</v>
      </c>
      <c r="L430" s="21" t="s">
        <v>330</v>
      </c>
      <c r="M430" s="126"/>
      <c r="N430" s="126"/>
      <c r="O430" s="152"/>
    </row>
    <row r="431" spans="1:15" ht="49.5" customHeight="1" x14ac:dyDescent="0.3">
      <c r="A431" s="127"/>
      <c r="B431" s="137"/>
      <c r="C431" s="131"/>
      <c r="D431" s="131"/>
      <c r="E431" s="14">
        <f>F431+G431+H431</f>
        <v>1256320.7</v>
      </c>
      <c r="F431" s="14">
        <v>185000</v>
      </c>
      <c r="G431" s="14">
        <v>537820.69999999995</v>
      </c>
      <c r="H431" s="14">
        <f>I431+J431+K431+L431</f>
        <v>533500</v>
      </c>
      <c r="I431" s="14">
        <v>0</v>
      </c>
      <c r="J431" s="14">
        <v>0</v>
      </c>
      <c r="K431" s="14">
        <v>446500</v>
      </c>
      <c r="L431" s="14">
        <v>87000</v>
      </c>
      <c r="M431" s="14">
        <v>0</v>
      </c>
      <c r="N431" s="14">
        <v>0</v>
      </c>
      <c r="O431" s="152"/>
    </row>
    <row r="432" spans="1:15" ht="23.25" customHeight="1" x14ac:dyDescent="0.3">
      <c r="A432" s="153" t="s">
        <v>291</v>
      </c>
      <c r="B432" s="173" t="s">
        <v>434</v>
      </c>
      <c r="C432" s="127" t="s">
        <v>67</v>
      </c>
      <c r="D432" s="38" t="s">
        <v>8</v>
      </c>
      <c r="E432" s="24">
        <f>E434+E435+E436+E437</f>
        <v>216880</v>
      </c>
      <c r="F432" s="24">
        <f>F434+F435</f>
        <v>70000</v>
      </c>
      <c r="G432" s="24">
        <f>G433</f>
        <v>86880</v>
      </c>
      <c r="H432" s="132">
        <f>H433</f>
        <v>60000</v>
      </c>
      <c r="I432" s="132"/>
      <c r="J432" s="132"/>
      <c r="K432" s="132"/>
      <c r="L432" s="132"/>
      <c r="M432" s="24">
        <f t="shared" ref="M432" si="73">M433</f>
        <v>0</v>
      </c>
      <c r="N432" s="24">
        <f t="shared" ref="N432" si="74">N433</f>
        <v>0</v>
      </c>
      <c r="O432" s="178" t="s">
        <v>17</v>
      </c>
    </row>
    <row r="433" spans="1:15" ht="37.5" customHeight="1" x14ac:dyDescent="0.3">
      <c r="A433" s="154"/>
      <c r="B433" s="173"/>
      <c r="C433" s="127"/>
      <c r="D433" s="50" t="s">
        <v>18</v>
      </c>
      <c r="E433" s="24">
        <f>E434+E435+E436+E437</f>
        <v>216880</v>
      </c>
      <c r="F433" s="24">
        <f>F434+F435</f>
        <v>70000</v>
      </c>
      <c r="G433" s="24">
        <f>G434+G435+G436</f>
        <v>86880</v>
      </c>
      <c r="H433" s="132">
        <f>H434+H435+H436+H437</f>
        <v>60000</v>
      </c>
      <c r="I433" s="132"/>
      <c r="J433" s="132"/>
      <c r="K433" s="132"/>
      <c r="L433" s="132"/>
      <c r="M433" s="24">
        <f t="shared" ref="M433:N433" si="75">M434+M435</f>
        <v>0</v>
      </c>
      <c r="N433" s="24">
        <f t="shared" si="75"/>
        <v>0</v>
      </c>
      <c r="O433" s="179"/>
    </row>
    <row r="434" spans="1:15" ht="117" customHeight="1" x14ac:dyDescent="0.3">
      <c r="A434" s="154"/>
      <c r="B434" s="38" t="s">
        <v>289</v>
      </c>
      <c r="C434" s="45" t="s">
        <v>67</v>
      </c>
      <c r="D434" s="38" t="s">
        <v>18</v>
      </c>
      <c r="E434" s="24">
        <f>F434+G434+H434+M434+N434</f>
        <v>70000</v>
      </c>
      <c r="F434" s="24">
        <v>70000</v>
      </c>
      <c r="G434" s="24">
        <v>0</v>
      </c>
      <c r="H434" s="132">
        <v>0</v>
      </c>
      <c r="I434" s="132"/>
      <c r="J434" s="132"/>
      <c r="K434" s="132"/>
      <c r="L434" s="132"/>
      <c r="M434" s="24">
        <v>0</v>
      </c>
      <c r="N434" s="24">
        <v>0</v>
      </c>
      <c r="O434" s="179"/>
    </row>
    <row r="435" spans="1:15" ht="117" customHeight="1" x14ac:dyDescent="0.3">
      <c r="A435" s="154"/>
      <c r="B435" s="38" t="s">
        <v>289</v>
      </c>
      <c r="C435" s="45" t="s">
        <v>67</v>
      </c>
      <c r="D435" s="38" t="s">
        <v>18</v>
      </c>
      <c r="E435" s="24">
        <f>F435+G435+H435+M435+N435</f>
        <v>70000</v>
      </c>
      <c r="F435" s="24">
        <v>0</v>
      </c>
      <c r="G435" s="24">
        <v>70000</v>
      </c>
      <c r="H435" s="132">
        <v>0</v>
      </c>
      <c r="I435" s="132"/>
      <c r="J435" s="132"/>
      <c r="K435" s="132"/>
      <c r="L435" s="132"/>
      <c r="M435" s="24">
        <v>0</v>
      </c>
      <c r="N435" s="24">
        <v>0</v>
      </c>
      <c r="O435" s="179"/>
    </row>
    <row r="436" spans="1:15" ht="148.5" customHeight="1" x14ac:dyDescent="0.3">
      <c r="A436" s="154"/>
      <c r="B436" s="38" t="s">
        <v>494</v>
      </c>
      <c r="C436" s="45" t="s">
        <v>67</v>
      </c>
      <c r="D436" s="38" t="s">
        <v>18</v>
      </c>
      <c r="E436" s="24">
        <f>F436+G436+H436+M436+N436</f>
        <v>16880</v>
      </c>
      <c r="F436" s="24">
        <v>0</v>
      </c>
      <c r="G436" s="24">
        <v>16880</v>
      </c>
      <c r="H436" s="132">
        <v>0</v>
      </c>
      <c r="I436" s="132"/>
      <c r="J436" s="132"/>
      <c r="K436" s="132"/>
      <c r="L436" s="132"/>
      <c r="M436" s="24">
        <v>0</v>
      </c>
      <c r="N436" s="24">
        <v>0</v>
      </c>
      <c r="O436" s="179"/>
    </row>
    <row r="437" spans="1:15" ht="96.75" customHeight="1" x14ac:dyDescent="0.3">
      <c r="A437" s="154"/>
      <c r="B437" s="38" t="s">
        <v>564</v>
      </c>
      <c r="C437" s="45" t="s">
        <v>67</v>
      </c>
      <c r="D437" s="38" t="s">
        <v>18</v>
      </c>
      <c r="E437" s="24">
        <f>F437+G437+H437+M437+N437</f>
        <v>60000</v>
      </c>
      <c r="F437" s="24">
        <v>0</v>
      </c>
      <c r="G437" s="24">
        <v>0</v>
      </c>
      <c r="H437" s="132">
        <v>60000</v>
      </c>
      <c r="I437" s="132"/>
      <c r="J437" s="132"/>
      <c r="K437" s="132"/>
      <c r="L437" s="132"/>
      <c r="M437" s="24">
        <v>0</v>
      </c>
      <c r="N437" s="24">
        <v>0</v>
      </c>
      <c r="O437" s="179"/>
    </row>
    <row r="438" spans="1:15" ht="40.5" customHeight="1" x14ac:dyDescent="0.3">
      <c r="A438" s="154"/>
      <c r="B438" s="137" t="s">
        <v>136</v>
      </c>
      <c r="C438" s="131" t="s">
        <v>101</v>
      </c>
      <c r="D438" s="131" t="s">
        <v>101</v>
      </c>
      <c r="E438" s="126" t="s">
        <v>102</v>
      </c>
      <c r="F438" s="126" t="s">
        <v>103</v>
      </c>
      <c r="G438" s="132" t="s">
        <v>501</v>
      </c>
      <c r="H438" s="132" t="s">
        <v>499</v>
      </c>
      <c r="I438" s="126" t="s">
        <v>332</v>
      </c>
      <c r="J438" s="126"/>
      <c r="K438" s="126"/>
      <c r="L438" s="126"/>
      <c r="M438" s="126" t="s">
        <v>105</v>
      </c>
      <c r="N438" s="126" t="s">
        <v>106</v>
      </c>
      <c r="O438" s="179"/>
    </row>
    <row r="439" spans="1:15" ht="40.5" customHeight="1" x14ac:dyDescent="0.3">
      <c r="A439" s="154"/>
      <c r="B439" s="137"/>
      <c r="C439" s="131"/>
      <c r="D439" s="131"/>
      <c r="E439" s="126"/>
      <c r="F439" s="126"/>
      <c r="G439" s="126"/>
      <c r="H439" s="126"/>
      <c r="I439" s="21" t="s">
        <v>327</v>
      </c>
      <c r="J439" s="21" t="s">
        <v>328</v>
      </c>
      <c r="K439" s="21" t="s">
        <v>329</v>
      </c>
      <c r="L439" s="21" t="s">
        <v>330</v>
      </c>
      <c r="M439" s="126"/>
      <c r="N439" s="126"/>
      <c r="O439" s="179"/>
    </row>
    <row r="440" spans="1:15" ht="49.5" customHeight="1" x14ac:dyDescent="0.3">
      <c r="A440" s="155"/>
      <c r="B440" s="137"/>
      <c r="C440" s="131"/>
      <c r="D440" s="131"/>
      <c r="E440" s="14">
        <f>F440+G440+H440</f>
        <v>216880</v>
      </c>
      <c r="F440" s="14">
        <v>70000</v>
      </c>
      <c r="G440" s="14">
        <v>86880</v>
      </c>
      <c r="H440" s="14">
        <f>I440+J440+K440+L440</f>
        <v>60000</v>
      </c>
      <c r="I440" s="14">
        <v>0</v>
      </c>
      <c r="J440" s="14">
        <v>0</v>
      </c>
      <c r="K440" s="14">
        <v>60000</v>
      </c>
      <c r="L440" s="14">
        <v>0</v>
      </c>
      <c r="M440" s="14">
        <v>0</v>
      </c>
      <c r="N440" s="14">
        <v>0</v>
      </c>
      <c r="O440" s="180"/>
    </row>
    <row r="441" spans="1:15" ht="33" customHeight="1" x14ac:dyDescent="0.3">
      <c r="A441" s="136" t="s">
        <v>592</v>
      </c>
      <c r="B441" s="137" t="s">
        <v>339</v>
      </c>
      <c r="C441" s="127" t="s">
        <v>67</v>
      </c>
      <c r="D441" s="38" t="s">
        <v>8</v>
      </c>
      <c r="E441" s="24">
        <f>E442+E443</f>
        <v>0</v>
      </c>
      <c r="F441" s="24">
        <f t="shared" ref="F441:G441" si="76">F442+F443</f>
        <v>0</v>
      </c>
      <c r="G441" s="24">
        <f t="shared" si="76"/>
        <v>0</v>
      </c>
      <c r="H441" s="141">
        <f t="shared" ref="H441:N441" si="77">H442+H443</f>
        <v>0</v>
      </c>
      <c r="I441" s="142"/>
      <c r="J441" s="142"/>
      <c r="K441" s="142"/>
      <c r="L441" s="143"/>
      <c r="M441" s="24">
        <f t="shared" si="77"/>
        <v>0</v>
      </c>
      <c r="N441" s="24">
        <f t="shared" si="77"/>
        <v>0</v>
      </c>
      <c r="O441" s="178" t="s">
        <v>17</v>
      </c>
    </row>
    <row r="442" spans="1:15" ht="42.75" customHeight="1" x14ac:dyDescent="0.3">
      <c r="A442" s="136"/>
      <c r="B442" s="137"/>
      <c r="C442" s="127"/>
      <c r="D442" s="38" t="s">
        <v>10</v>
      </c>
      <c r="E442" s="21">
        <f>SUM(F442:N442)</f>
        <v>0</v>
      </c>
      <c r="F442" s="21">
        <v>0</v>
      </c>
      <c r="G442" s="21">
        <v>0</v>
      </c>
      <c r="H442" s="133">
        <v>0</v>
      </c>
      <c r="I442" s="134"/>
      <c r="J442" s="134"/>
      <c r="K442" s="134"/>
      <c r="L442" s="135"/>
      <c r="M442" s="21">
        <v>0</v>
      </c>
      <c r="N442" s="21">
        <v>0</v>
      </c>
      <c r="O442" s="179"/>
    </row>
    <row r="443" spans="1:15" ht="39.75" customHeight="1" x14ac:dyDescent="0.3">
      <c r="A443" s="136"/>
      <c r="B443" s="137"/>
      <c r="C443" s="127"/>
      <c r="D443" s="38" t="s">
        <v>18</v>
      </c>
      <c r="E443" s="21">
        <f>SUM(F443:N443)</f>
        <v>0</v>
      </c>
      <c r="F443" s="24">
        <v>0</v>
      </c>
      <c r="G443" s="24">
        <v>0</v>
      </c>
      <c r="H443" s="141">
        <v>0</v>
      </c>
      <c r="I443" s="142"/>
      <c r="J443" s="142"/>
      <c r="K443" s="142"/>
      <c r="L443" s="143"/>
      <c r="M443" s="24">
        <v>0</v>
      </c>
      <c r="N443" s="24">
        <v>0</v>
      </c>
      <c r="O443" s="179"/>
    </row>
    <row r="444" spans="1:15" ht="25.5" customHeight="1" x14ac:dyDescent="0.3">
      <c r="A444" s="136"/>
      <c r="B444" s="137" t="s">
        <v>340</v>
      </c>
      <c r="C444" s="131" t="s">
        <v>101</v>
      </c>
      <c r="D444" s="131" t="s">
        <v>101</v>
      </c>
      <c r="E444" s="126" t="s">
        <v>102</v>
      </c>
      <c r="F444" s="126" t="s">
        <v>103</v>
      </c>
      <c r="G444" s="139" t="s">
        <v>501</v>
      </c>
      <c r="H444" s="132" t="s">
        <v>499</v>
      </c>
      <c r="I444" s="133" t="s">
        <v>332</v>
      </c>
      <c r="J444" s="134"/>
      <c r="K444" s="134"/>
      <c r="L444" s="135"/>
      <c r="M444" s="126" t="s">
        <v>105</v>
      </c>
      <c r="N444" s="126" t="s">
        <v>106</v>
      </c>
      <c r="O444" s="179"/>
    </row>
    <row r="445" spans="1:15" ht="27.75" customHeight="1" x14ac:dyDescent="0.3">
      <c r="A445" s="136"/>
      <c r="B445" s="137"/>
      <c r="C445" s="131"/>
      <c r="D445" s="131"/>
      <c r="E445" s="126"/>
      <c r="F445" s="126"/>
      <c r="G445" s="140"/>
      <c r="H445" s="126"/>
      <c r="I445" s="23" t="s">
        <v>327</v>
      </c>
      <c r="J445" s="23" t="s">
        <v>328</v>
      </c>
      <c r="K445" s="23" t="s">
        <v>329</v>
      </c>
      <c r="L445" s="23" t="s">
        <v>330</v>
      </c>
      <c r="M445" s="126"/>
      <c r="N445" s="126"/>
      <c r="O445" s="179"/>
    </row>
    <row r="446" spans="1:15" ht="34.5" customHeight="1" x14ac:dyDescent="0.3">
      <c r="A446" s="136"/>
      <c r="B446" s="137"/>
      <c r="C446" s="131"/>
      <c r="D446" s="131"/>
      <c r="E446" s="14">
        <v>0</v>
      </c>
      <c r="F446" s="14">
        <v>0</v>
      </c>
      <c r="G446" s="14">
        <v>0</v>
      </c>
      <c r="H446" s="14">
        <v>0</v>
      </c>
      <c r="I446" s="14">
        <v>0</v>
      </c>
      <c r="J446" s="14">
        <v>0</v>
      </c>
      <c r="K446" s="14">
        <v>0</v>
      </c>
      <c r="L446" s="14">
        <v>0</v>
      </c>
      <c r="M446" s="14">
        <v>0</v>
      </c>
      <c r="N446" s="14">
        <v>0</v>
      </c>
      <c r="O446" s="180"/>
    </row>
    <row r="447" spans="1:15" ht="31.5" customHeight="1" x14ac:dyDescent="0.3">
      <c r="A447" s="199" t="s">
        <v>591</v>
      </c>
      <c r="B447" s="137" t="s">
        <v>480</v>
      </c>
      <c r="C447" s="127" t="s">
        <v>67</v>
      </c>
      <c r="D447" s="38" t="s">
        <v>8</v>
      </c>
      <c r="E447" s="24">
        <f>E448+E449</f>
        <v>13600</v>
      </c>
      <c r="F447" s="24">
        <f t="shared" ref="F447:G447" si="78">F448+F449</f>
        <v>0</v>
      </c>
      <c r="G447" s="24">
        <f t="shared" si="78"/>
        <v>0</v>
      </c>
      <c r="H447" s="141">
        <f t="shared" ref="H447:N447" si="79">H448+H449</f>
        <v>0</v>
      </c>
      <c r="I447" s="142"/>
      <c r="J447" s="142"/>
      <c r="K447" s="142"/>
      <c r="L447" s="143"/>
      <c r="M447" s="24">
        <f t="shared" si="79"/>
        <v>9520</v>
      </c>
      <c r="N447" s="24">
        <f t="shared" si="79"/>
        <v>4080</v>
      </c>
      <c r="O447" s="178" t="s">
        <v>17</v>
      </c>
    </row>
    <row r="448" spans="1:15" ht="40.5" customHeight="1" x14ac:dyDescent="0.3">
      <c r="A448" s="200"/>
      <c r="B448" s="137"/>
      <c r="C448" s="127"/>
      <c r="D448" s="38" t="s">
        <v>10</v>
      </c>
      <c r="E448" s="24">
        <f>F448+G448+H448+M448+N448</f>
        <v>13600</v>
      </c>
      <c r="F448" s="24">
        <v>0</v>
      </c>
      <c r="G448" s="24">
        <v>0</v>
      </c>
      <c r="H448" s="141">
        <v>0</v>
      </c>
      <c r="I448" s="142"/>
      <c r="J448" s="142"/>
      <c r="K448" s="142"/>
      <c r="L448" s="143"/>
      <c r="M448" s="24">
        <v>9520</v>
      </c>
      <c r="N448" s="24">
        <v>4080</v>
      </c>
      <c r="O448" s="179"/>
    </row>
    <row r="449" spans="1:15" ht="43.5" customHeight="1" x14ac:dyDescent="0.3">
      <c r="A449" s="200"/>
      <c r="B449" s="137"/>
      <c r="C449" s="127"/>
      <c r="D449" s="38" t="s">
        <v>18</v>
      </c>
      <c r="E449" s="24">
        <f>F449+G449+H449+M449+N449</f>
        <v>0</v>
      </c>
      <c r="F449" s="24">
        <v>0</v>
      </c>
      <c r="G449" s="24">
        <v>0</v>
      </c>
      <c r="H449" s="141">
        <v>0</v>
      </c>
      <c r="I449" s="142"/>
      <c r="J449" s="142"/>
      <c r="K449" s="142"/>
      <c r="L449" s="143"/>
      <c r="M449" s="24">
        <v>0</v>
      </c>
      <c r="N449" s="24">
        <v>0</v>
      </c>
      <c r="O449" s="179"/>
    </row>
    <row r="450" spans="1:15" ht="37.5" customHeight="1" x14ac:dyDescent="0.3">
      <c r="A450" s="200"/>
      <c r="B450" s="137" t="s">
        <v>510</v>
      </c>
      <c r="C450" s="131" t="s">
        <v>101</v>
      </c>
      <c r="D450" s="131" t="s">
        <v>101</v>
      </c>
      <c r="E450" s="126" t="s">
        <v>102</v>
      </c>
      <c r="F450" s="126" t="s">
        <v>103</v>
      </c>
      <c r="G450" s="139" t="s">
        <v>501</v>
      </c>
      <c r="H450" s="132" t="s">
        <v>499</v>
      </c>
      <c r="I450" s="133" t="s">
        <v>332</v>
      </c>
      <c r="J450" s="134"/>
      <c r="K450" s="134"/>
      <c r="L450" s="135"/>
      <c r="M450" s="126" t="s">
        <v>105</v>
      </c>
      <c r="N450" s="126" t="s">
        <v>106</v>
      </c>
      <c r="O450" s="179"/>
    </row>
    <row r="451" spans="1:15" ht="33" customHeight="1" x14ac:dyDescent="0.3">
      <c r="A451" s="200"/>
      <c r="B451" s="137"/>
      <c r="C451" s="131"/>
      <c r="D451" s="131"/>
      <c r="E451" s="126"/>
      <c r="F451" s="126"/>
      <c r="G451" s="140"/>
      <c r="H451" s="126"/>
      <c r="I451" s="23" t="s">
        <v>327</v>
      </c>
      <c r="J451" s="23" t="s">
        <v>328</v>
      </c>
      <c r="K451" s="23" t="s">
        <v>329</v>
      </c>
      <c r="L451" s="23" t="s">
        <v>330</v>
      </c>
      <c r="M451" s="126"/>
      <c r="N451" s="126"/>
      <c r="O451" s="179"/>
    </row>
    <row r="452" spans="1:15" ht="39.75" customHeight="1" x14ac:dyDescent="0.3">
      <c r="A452" s="201"/>
      <c r="B452" s="137"/>
      <c r="C452" s="131"/>
      <c r="D452" s="131"/>
      <c r="E452" s="14">
        <v>0</v>
      </c>
      <c r="F452" s="14">
        <v>0</v>
      </c>
      <c r="G452" s="14">
        <v>0</v>
      </c>
      <c r="H452" s="14">
        <v>0</v>
      </c>
      <c r="I452" s="14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0</v>
      </c>
      <c r="O452" s="180"/>
    </row>
    <row r="453" spans="1:15" ht="31.5" customHeight="1" x14ac:dyDescent="0.3">
      <c r="A453" s="199" t="s">
        <v>593</v>
      </c>
      <c r="B453" s="137" t="s">
        <v>512</v>
      </c>
      <c r="C453" s="127" t="s">
        <v>67</v>
      </c>
      <c r="D453" s="38" t="s">
        <v>8</v>
      </c>
      <c r="E453" s="24">
        <f>E454+E455</f>
        <v>0</v>
      </c>
      <c r="F453" s="24">
        <f t="shared" ref="F453:H453" si="80">F454+F455</f>
        <v>0</v>
      </c>
      <c r="G453" s="24">
        <f t="shared" si="80"/>
        <v>0</v>
      </c>
      <c r="H453" s="141">
        <f t="shared" si="80"/>
        <v>0</v>
      </c>
      <c r="I453" s="142"/>
      <c r="J453" s="142"/>
      <c r="K453" s="142"/>
      <c r="L453" s="143"/>
      <c r="M453" s="24">
        <f t="shared" ref="M453:N453" si="81">M454+M455</f>
        <v>0</v>
      </c>
      <c r="N453" s="24">
        <f t="shared" si="81"/>
        <v>0</v>
      </c>
      <c r="O453" s="178" t="s">
        <v>17</v>
      </c>
    </row>
    <row r="454" spans="1:15" ht="40.5" customHeight="1" x14ac:dyDescent="0.3">
      <c r="A454" s="200"/>
      <c r="B454" s="137"/>
      <c r="C454" s="127"/>
      <c r="D454" s="38" t="s">
        <v>10</v>
      </c>
      <c r="E454" s="24">
        <f>F454+G454+H454+M454+N454</f>
        <v>0</v>
      </c>
      <c r="F454" s="24">
        <v>0</v>
      </c>
      <c r="G454" s="24">
        <v>0</v>
      </c>
      <c r="H454" s="141">
        <v>0</v>
      </c>
      <c r="I454" s="142"/>
      <c r="J454" s="142"/>
      <c r="K454" s="142"/>
      <c r="L454" s="143"/>
      <c r="M454" s="24">
        <v>0</v>
      </c>
      <c r="N454" s="24">
        <v>0</v>
      </c>
      <c r="O454" s="179"/>
    </row>
    <row r="455" spans="1:15" ht="43.5" customHeight="1" x14ac:dyDescent="0.3">
      <c r="A455" s="200"/>
      <c r="B455" s="137"/>
      <c r="C455" s="127"/>
      <c r="D455" s="38" t="s">
        <v>18</v>
      </c>
      <c r="E455" s="24">
        <f>F455+G455+H455+M455+N455</f>
        <v>0</v>
      </c>
      <c r="F455" s="24">
        <v>0</v>
      </c>
      <c r="G455" s="24">
        <v>0</v>
      </c>
      <c r="H455" s="141">
        <v>0</v>
      </c>
      <c r="I455" s="142"/>
      <c r="J455" s="142"/>
      <c r="K455" s="142"/>
      <c r="L455" s="143"/>
      <c r="M455" s="24">
        <v>0</v>
      </c>
      <c r="N455" s="24">
        <v>0</v>
      </c>
      <c r="O455" s="179"/>
    </row>
    <row r="456" spans="1:15" ht="37.5" customHeight="1" x14ac:dyDescent="0.3">
      <c r="A456" s="200"/>
      <c r="B456" s="137" t="s">
        <v>513</v>
      </c>
      <c r="C456" s="131" t="s">
        <v>101</v>
      </c>
      <c r="D456" s="131" t="s">
        <v>101</v>
      </c>
      <c r="E456" s="126" t="s">
        <v>102</v>
      </c>
      <c r="F456" s="126" t="s">
        <v>103</v>
      </c>
      <c r="G456" s="139" t="s">
        <v>501</v>
      </c>
      <c r="H456" s="132" t="s">
        <v>499</v>
      </c>
      <c r="I456" s="133" t="s">
        <v>332</v>
      </c>
      <c r="J456" s="134"/>
      <c r="K456" s="134"/>
      <c r="L456" s="135"/>
      <c r="M456" s="126" t="s">
        <v>105</v>
      </c>
      <c r="N456" s="126" t="s">
        <v>106</v>
      </c>
      <c r="O456" s="179"/>
    </row>
    <row r="457" spans="1:15" ht="33" customHeight="1" x14ac:dyDescent="0.3">
      <c r="A457" s="200"/>
      <c r="B457" s="137"/>
      <c r="C457" s="131"/>
      <c r="D457" s="131"/>
      <c r="E457" s="126"/>
      <c r="F457" s="126"/>
      <c r="G457" s="140"/>
      <c r="H457" s="126"/>
      <c r="I457" s="23" t="s">
        <v>327</v>
      </c>
      <c r="J457" s="23" t="s">
        <v>328</v>
      </c>
      <c r="K457" s="23" t="s">
        <v>329</v>
      </c>
      <c r="L457" s="23" t="s">
        <v>330</v>
      </c>
      <c r="M457" s="126"/>
      <c r="N457" s="126"/>
      <c r="O457" s="179"/>
    </row>
    <row r="458" spans="1:15" ht="39.75" customHeight="1" x14ac:dyDescent="0.3">
      <c r="A458" s="201"/>
      <c r="B458" s="137"/>
      <c r="C458" s="131"/>
      <c r="D458" s="131"/>
      <c r="E458" s="14">
        <v>0</v>
      </c>
      <c r="F458" s="14">
        <v>0</v>
      </c>
      <c r="G458" s="14">
        <v>0</v>
      </c>
      <c r="H458" s="14">
        <v>0</v>
      </c>
      <c r="I458" s="14">
        <v>0</v>
      </c>
      <c r="J458" s="14">
        <v>0</v>
      </c>
      <c r="K458" s="14">
        <v>0</v>
      </c>
      <c r="L458" s="14">
        <v>0</v>
      </c>
      <c r="M458" s="14">
        <v>0</v>
      </c>
      <c r="N458" s="14">
        <v>0</v>
      </c>
      <c r="O458" s="180"/>
    </row>
    <row r="459" spans="1:15" ht="31.5" customHeight="1" x14ac:dyDescent="0.3">
      <c r="A459" s="199" t="s">
        <v>594</v>
      </c>
      <c r="B459" s="137" t="s">
        <v>481</v>
      </c>
      <c r="C459" s="127" t="s">
        <v>67</v>
      </c>
      <c r="D459" s="38" t="s">
        <v>8</v>
      </c>
      <c r="E459" s="24">
        <f>E460+E461</f>
        <v>100226</v>
      </c>
      <c r="F459" s="24">
        <f t="shared" ref="F459:G459" si="82">F460+F461</f>
        <v>0</v>
      </c>
      <c r="G459" s="24">
        <f t="shared" si="82"/>
        <v>0</v>
      </c>
      <c r="H459" s="141">
        <f t="shared" ref="H459:N459" si="83">H460+H461</f>
        <v>0</v>
      </c>
      <c r="I459" s="142"/>
      <c r="J459" s="142"/>
      <c r="K459" s="142"/>
      <c r="L459" s="143"/>
      <c r="M459" s="24">
        <f t="shared" si="83"/>
        <v>100226</v>
      </c>
      <c r="N459" s="24">
        <f t="shared" si="83"/>
        <v>0</v>
      </c>
      <c r="O459" s="178" t="s">
        <v>17</v>
      </c>
    </row>
    <row r="460" spans="1:15" ht="40.5" customHeight="1" x14ac:dyDescent="0.3">
      <c r="A460" s="200"/>
      <c r="B460" s="137"/>
      <c r="C460" s="127"/>
      <c r="D460" s="38" t="s">
        <v>10</v>
      </c>
      <c r="E460" s="24">
        <f>F460+G460+H460+M460+N460</f>
        <v>100226</v>
      </c>
      <c r="F460" s="24">
        <v>0</v>
      </c>
      <c r="G460" s="24">
        <v>0</v>
      </c>
      <c r="H460" s="141">
        <v>0</v>
      </c>
      <c r="I460" s="142"/>
      <c r="J460" s="142"/>
      <c r="K460" s="142"/>
      <c r="L460" s="143"/>
      <c r="M460" s="24">
        <v>100226</v>
      </c>
      <c r="N460" s="24">
        <v>0</v>
      </c>
      <c r="O460" s="179"/>
    </row>
    <row r="461" spans="1:15" ht="43.5" customHeight="1" x14ac:dyDescent="0.3">
      <c r="A461" s="200"/>
      <c r="B461" s="137"/>
      <c r="C461" s="127"/>
      <c r="D461" s="38" t="s">
        <v>18</v>
      </c>
      <c r="E461" s="24">
        <f>F461+G461+H461+M461+N461</f>
        <v>0</v>
      </c>
      <c r="F461" s="24">
        <v>0</v>
      </c>
      <c r="G461" s="24">
        <v>0</v>
      </c>
      <c r="H461" s="141">
        <v>0</v>
      </c>
      <c r="I461" s="142"/>
      <c r="J461" s="142"/>
      <c r="K461" s="142"/>
      <c r="L461" s="143"/>
      <c r="M461" s="24">
        <v>0</v>
      </c>
      <c r="N461" s="24">
        <v>0</v>
      </c>
      <c r="O461" s="179"/>
    </row>
    <row r="462" spans="1:15" ht="37.5" customHeight="1" x14ac:dyDescent="0.3">
      <c r="A462" s="200"/>
      <c r="B462" s="137" t="s">
        <v>511</v>
      </c>
      <c r="C462" s="131" t="s">
        <v>101</v>
      </c>
      <c r="D462" s="131" t="s">
        <v>101</v>
      </c>
      <c r="E462" s="126" t="s">
        <v>102</v>
      </c>
      <c r="F462" s="126" t="s">
        <v>103</v>
      </c>
      <c r="G462" s="139" t="s">
        <v>501</v>
      </c>
      <c r="H462" s="132" t="s">
        <v>499</v>
      </c>
      <c r="I462" s="133" t="s">
        <v>332</v>
      </c>
      <c r="J462" s="134"/>
      <c r="K462" s="134"/>
      <c r="L462" s="135"/>
      <c r="M462" s="126" t="s">
        <v>105</v>
      </c>
      <c r="N462" s="126" t="s">
        <v>106</v>
      </c>
      <c r="O462" s="179"/>
    </row>
    <row r="463" spans="1:15" ht="33" customHeight="1" x14ac:dyDescent="0.3">
      <c r="A463" s="200"/>
      <c r="B463" s="137"/>
      <c r="C463" s="131"/>
      <c r="D463" s="131"/>
      <c r="E463" s="126"/>
      <c r="F463" s="126"/>
      <c r="G463" s="140"/>
      <c r="H463" s="126"/>
      <c r="I463" s="23" t="s">
        <v>327</v>
      </c>
      <c r="J463" s="23" t="s">
        <v>328</v>
      </c>
      <c r="K463" s="23" t="s">
        <v>329</v>
      </c>
      <c r="L463" s="23" t="s">
        <v>330</v>
      </c>
      <c r="M463" s="126"/>
      <c r="N463" s="126"/>
      <c r="O463" s="179"/>
    </row>
    <row r="464" spans="1:15" ht="39.75" customHeight="1" x14ac:dyDescent="0.3">
      <c r="A464" s="201"/>
      <c r="B464" s="137"/>
      <c r="C464" s="131"/>
      <c r="D464" s="131"/>
      <c r="E464" s="14">
        <v>0</v>
      </c>
      <c r="F464" s="14">
        <v>0</v>
      </c>
      <c r="G464" s="14">
        <v>0</v>
      </c>
      <c r="H464" s="14">
        <v>0</v>
      </c>
      <c r="I464" s="14">
        <v>0</v>
      </c>
      <c r="J464" s="14">
        <v>0</v>
      </c>
      <c r="K464" s="14">
        <v>0</v>
      </c>
      <c r="L464" s="14">
        <v>0</v>
      </c>
      <c r="M464" s="14">
        <v>0</v>
      </c>
      <c r="N464" s="14">
        <v>0</v>
      </c>
      <c r="O464" s="180"/>
    </row>
    <row r="465" spans="1:17" ht="30" customHeight="1" x14ac:dyDescent="0.3">
      <c r="A465" s="127" t="s">
        <v>23</v>
      </c>
      <c r="B465" s="137" t="s">
        <v>87</v>
      </c>
      <c r="C465" s="127" t="s">
        <v>67</v>
      </c>
      <c r="D465" s="38" t="s">
        <v>8</v>
      </c>
      <c r="E465" s="24">
        <f>E466+E467</f>
        <v>2190.93001</v>
      </c>
      <c r="F465" s="24">
        <f t="shared" ref="F465:N465" si="84">F466+F467</f>
        <v>2190.93001</v>
      </c>
      <c r="G465" s="24">
        <f t="shared" si="84"/>
        <v>0</v>
      </c>
      <c r="H465" s="141">
        <f t="shared" si="84"/>
        <v>0</v>
      </c>
      <c r="I465" s="142"/>
      <c r="J465" s="142"/>
      <c r="K465" s="142"/>
      <c r="L465" s="143"/>
      <c r="M465" s="24">
        <f t="shared" si="84"/>
        <v>0</v>
      </c>
      <c r="N465" s="24">
        <f t="shared" si="84"/>
        <v>0</v>
      </c>
      <c r="O465" s="152"/>
    </row>
    <row r="466" spans="1:17" ht="37.5" customHeight="1" x14ac:dyDescent="0.3">
      <c r="A466" s="127"/>
      <c r="B466" s="137"/>
      <c r="C466" s="127"/>
      <c r="D466" s="38" t="s">
        <v>10</v>
      </c>
      <c r="E466" s="24">
        <f>F466+G466+H466+M466+N466</f>
        <v>1945</v>
      </c>
      <c r="F466" s="24">
        <f>F469</f>
        <v>1945</v>
      </c>
      <c r="G466" s="24">
        <f t="shared" ref="G466:N466" si="85">G469</f>
        <v>0</v>
      </c>
      <c r="H466" s="141">
        <f t="shared" si="85"/>
        <v>0</v>
      </c>
      <c r="I466" s="142"/>
      <c r="J466" s="142"/>
      <c r="K466" s="142"/>
      <c r="L466" s="143"/>
      <c r="M466" s="24">
        <f t="shared" si="85"/>
        <v>0</v>
      </c>
      <c r="N466" s="24">
        <f t="shared" si="85"/>
        <v>0</v>
      </c>
      <c r="O466" s="152"/>
    </row>
    <row r="467" spans="1:17" ht="37.5" customHeight="1" x14ac:dyDescent="0.3">
      <c r="A467" s="127"/>
      <c r="B467" s="137"/>
      <c r="C467" s="127"/>
      <c r="D467" s="38" t="s">
        <v>18</v>
      </c>
      <c r="E467" s="24">
        <f>F467+G467+H467+M467+N467</f>
        <v>245.93001000000001</v>
      </c>
      <c r="F467" s="24">
        <f>F470</f>
        <v>245.93001000000001</v>
      </c>
      <c r="G467" s="24">
        <v>0</v>
      </c>
      <c r="H467" s="141">
        <v>0</v>
      </c>
      <c r="I467" s="142"/>
      <c r="J467" s="142"/>
      <c r="K467" s="142"/>
      <c r="L467" s="143"/>
      <c r="M467" s="24">
        <v>0</v>
      </c>
      <c r="N467" s="24">
        <v>0</v>
      </c>
      <c r="O467" s="152"/>
    </row>
    <row r="468" spans="1:17" ht="30.75" customHeight="1" x14ac:dyDescent="0.3">
      <c r="A468" s="127" t="s">
        <v>25</v>
      </c>
      <c r="B468" s="137" t="s">
        <v>88</v>
      </c>
      <c r="C468" s="127" t="s">
        <v>67</v>
      </c>
      <c r="D468" s="38" t="s">
        <v>8</v>
      </c>
      <c r="E468" s="24">
        <f>E469+E470</f>
        <v>2190.93001</v>
      </c>
      <c r="F468" s="24">
        <f t="shared" ref="F468:N468" si="86">F469+F470</f>
        <v>2190.93001</v>
      </c>
      <c r="G468" s="24">
        <f t="shared" si="86"/>
        <v>0</v>
      </c>
      <c r="H468" s="141">
        <f t="shared" si="86"/>
        <v>0</v>
      </c>
      <c r="I468" s="142"/>
      <c r="J468" s="142"/>
      <c r="K468" s="142"/>
      <c r="L468" s="143"/>
      <c r="M468" s="24">
        <f t="shared" si="86"/>
        <v>0</v>
      </c>
      <c r="N468" s="24">
        <f t="shared" si="86"/>
        <v>0</v>
      </c>
      <c r="O468" s="152" t="s">
        <v>17</v>
      </c>
    </row>
    <row r="469" spans="1:17" ht="39.75" customHeight="1" x14ac:dyDescent="0.3">
      <c r="A469" s="127"/>
      <c r="B469" s="137"/>
      <c r="C469" s="127"/>
      <c r="D469" s="38" t="s">
        <v>10</v>
      </c>
      <c r="E469" s="21">
        <f>SUM(F469:N469)</f>
        <v>1945</v>
      </c>
      <c r="F469" s="21">
        <f>2190.93001-245.93001</f>
        <v>1945</v>
      </c>
      <c r="G469" s="21">
        <v>0</v>
      </c>
      <c r="H469" s="133">
        <v>0</v>
      </c>
      <c r="I469" s="134"/>
      <c r="J469" s="134"/>
      <c r="K469" s="134"/>
      <c r="L469" s="135"/>
      <c r="M469" s="21">
        <v>0</v>
      </c>
      <c r="N469" s="21">
        <v>0</v>
      </c>
      <c r="O469" s="152"/>
    </row>
    <row r="470" spans="1:17" ht="54.75" customHeight="1" x14ac:dyDescent="0.3">
      <c r="A470" s="127"/>
      <c r="B470" s="137"/>
      <c r="C470" s="127"/>
      <c r="D470" s="38" t="s">
        <v>18</v>
      </c>
      <c r="E470" s="21">
        <f>SUM(F470:N470)</f>
        <v>245.93001000000001</v>
      </c>
      <c r="F470" s="24">
        <v>245.93001000000001</v>
      </c>
      <c r="G470" s="24">
        <v>0</v>
      </c>
      <c r="H470" s="141">
        <v>0</v>
      </c>
      <c r="I470" s="142"/>
      <c r="J470" s="142"/>
      <c r="K470" s="142"/>
      <c r="L470" s="143"/>
      <c r="M470" s="24">
        <v>0</v>
      </c>
      <c r="N470" s="24">
        <v>0</v>
      </c>
      <c r="O470" s="152"/>
    </row>
    <row r="471" spans="1:17" ht="30" customHeight="1" x14ac:dyDescent="0.3">
      <c r="A471" s="127"/>
      <c r="B471" s="137" t="s">
        <v>322</v>
      </c>
      <c r="C471" s="131" t="s">
        <v>101</v>
      </c>
      <c r="D471" s="131" t="s">
        <v>101</v>
      </c>
      <c r="E471" s="126" t="s">
        <v>102</v>
      </c>
      <c r="F471" s="126" t="s">
        <v>103</v>
      </c>
      <c r="G471" s="139" t="s">
        <v>501</v>
      </c>
      <c r="H471" s="132" t="s">
        <v>499</v>
      </c>
      <c r="I471" s="133" t="s">
        <v>332</v>
      </c>
      <c r="J471" s="134"/>
      <c r="K471" s="134"/>
      <c r="L471" s="135"/>
      <c r="M471" s="126" t="s">
        <v>105</v>
      </c>
      <c r="N471" s="126" t="s">
        <v>106</v>
      </c>
      <c r="O471" s="152"/>
    </row>
    <row r="472" spans="1:17" ht="27.75" customHeight="1" x14ac:dyDescent="0.3">
      <c r="A472" s="127"/>
      <c r="B472" s="137"/>
      <c r="C472" s="131"/>
      <c r="D472" s="131"/>
      <c r="E472" s="126"/>
      <c r="F472" s="126"/>
      <c r="G472" s="140"/>
      <c r="H472" s="126"/>
      <c r="I472" s="23" t="s">
        <v>327</v>
      </c>
      <c r="J472" s="23" t="s">
        <v>328</v>
      </c>
      <c r="K472" s="23" t="s">
        <v>329</v>
      </c>
      <c r="L472" s="23" t="s">
        <v>330</v>
      </c>
      <c r="M472" s="126"/>
      <c r="N472" s="126"/>
      <c r="O472" s="152"/>
    </row>
    <row r="473" spans="1:17" ht="27.75" customHeight="1" x14ac:dyDescent="0.3">
      <c r="A473" s="127"/>
      <c r="B473" s="137"/>
      <c r="C473" s="131"/>
      <c r="D473" s="131"/>
      <c r="E473" s="14">
        <v>0</v>
      </c>
      <c r="F473" s="14">
        <v>0</v>
      </c>
      <c r="G473" s="14">
        <v>0</v>
      </c>
      <c r="H473" s="14">
        <v>0</v>
      </c>
      <c r="I473" s="14">
        <v>0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52"/>
    </row>
    <row r="474" spans="1:17" ht="28.5" customHeight="1" x14ac:dyDescent="0.3">
      <c r="A474" s="153"/>
      <c r="B474" s="196" t="s">
        <v>321</v>
      </c>
      <c r="C474" s="153"/>
      <c r="D474" s="40" t="s">
        <v>308</v>
      </c>
      <c r="E474" s="16">
        <f>E475+E476</f>
        <v>4275713.5368900001</v>
      </c>
      <c r="F474" s="51">
        <f t="shared" ref="F474:M474" si="87">F475+F476</f>
        <v>1076990.93001</v>
      </c>
      <c r="G474" s="51">
        <f t="shared" si="87"/>
        <v>1752489.6942099999</v>
      </c>
      <c r="H474" s="149">
        <f t="shared" si="87"/>
        <v>1332406.91267</v>
      </c>
      <c r="I474" s="150"/>
      <c r="J474" s="150"/>
      <c r="K474" s="150"/>
      <c r="L474" s="151"/>
      <c r="M474" s="16">
        <f t="shared" si="87"/>
        <v>109746</v>
      </c>
      <c r="N474" s="16">
        <f>N475+N476</f>
        <v>4080</v>
      </c>
      <c r="O474" s="178"/>
    </row>
    <row r="475" spans="1:17" ht="33.950000000000003" customHeight="1" x14ac:dyDescent="0.3">
      <c r="A475" s="154"/>
      <c r="B475" s="197"/>
      <c r="C475" s="154"/>
      <c r="D475" s="40" t="s">
        <v>10</v>
      </c>
      <c r="E475" s="16">
        <f>F475+G475+H475+M475+N475</f>
        <v>137571</v>
      </c>
      <c r="F475" s="51">
        <f t="shared" ref="F475:H476" si="88">F403+F466</f>
        <v>23745</v>
      </c>
      <c r="G475" s="51">
        <f t="shared" si="88"/>
        <v>0</v>
      </c>
      <c r="H475" s="149">
        <f t="shared" si="88"/>
        <v>0</v>
      </c>
      <c r="I475" s="150"/>
      <c r="J475" s="150"/>
      <c r="K475" s="150"/>
      <c r="L475" s="151"/>
      <c r="M475" s="16">
        <f>M403+M466</f>
        <v>109746</v>
      </c>
      <c r="N475" s="16">
        <f>N403+N466</f>
        <v>4080</v>
      </c>
      <c r="O475" s="179"/>
      <c r="P475" s="46"/>
      <c r="Q475" s="46"/>
    </row>
    <row r="476" spans="1:17" ht="39.75" customHeight="1" x14ac:dyDescent="0.3">
      <c r="A476" s="155"/>
      <c r="B476" s="198"/>
      <c r="C476" s="155"/>
      <c r="D476" s="40" t="s">
        <v>18</v>
      </c>
      <c r="E476" s="16">
        <f>F476+G476+H476+M476+N476</f>
        <v>4138142.5368899996</v>
      </c>
      <c r="F476" s="51">
        <f t="shared" si="88"/>
        <v>1053245.93001</v>
      </c>
      <c r="G476" s="51">
        <f t="shared" si="88"/>
        <v>1752489.6942099999</v>
      </c>
      <c r="H476" s="149">
        <f t="shared" si="88"/>
        <v>1332406.91267</v>
      </c>
      <c r="I476" s="150"/>
      <c r="J476" s="150"/>
      <c r="K476" s="150"/>
      <c r="L476" s="151"/>
      <c r="M476" s="16">
        <f>M404+M467</f>
        <v>0</v>
      </c>
      <c r="N476" s="16">
        <f>N404+N467</f>
        <v>0</v>
      </c>
      <c r="O476" s="180"/>
      <c r="P476" s="46"/>
      <c r="Q476" s="46"/>
    </row>
    <row r="477" spans="1:17" ht="28.5" customHeight="1" x14ac:dyDescent="0.3">
      <c r="A477" s="190"/>
      <c r="B477" s="190"/>
      <c r="C477" s="190"/>
      <c r="D477" s="58" t="s">
        <v>39</v>
      </c>
      <c r="E477" s="15">
        <f>SUM(E478:E481)</f>
        <v>24076465.264219999</v>
      </c>
      <c r="F477" s="41">
        <f>SUM(F478:F481)</f>
        <v>1839675.3227999997</v>
      </c>
      <c r="G477" s="41">
        <f t="shared" ref="G477:N477" si="89">SUM(G478:G481)</f>
        <v>4768607.00887</v>
      </c>
      <c r="H477" s="156">
        <f>SUM(H478:H481)</f>
        <v>5677730.5052300002</v>
      </c>
      <c r="I477" s="157"/>
      <c r="J477" s="157"/>
      <c r="K477" s="157"/>
      <c r="L477" s="158"/>
      <c r="M477" s="15">
        <f>SUM(M478:M481)</f>
        <v>7205855.877319999</v>
      </c>
      <c r="N477" s="15">
        <f t="shared" si="89"/>
        <v>4584596.55</v>
      </c>
      <c r="O477" s="193"/>
    </row>
    <row r="478" spans="1:17" ht="26.1" customHeight="1" x14ac:dyDescent="0.3">
      <c r="A478" s="191"/>
      <c r="B478" s="191"/>
      <c r="C478" s="191"/>
      <c r="D478" s="54" t="s">
        <v>9</v>
      </c>
      <c r="E478" s="15">
        <f>F478+G478+H478+M478+N478</f>
        <v>512943.8</v>
      </c>
      <c r="F478" s="41">
        <f>F42+F112</f>
        <v>200000</v>
      </c>
      <c r="G478" s="41">
        <f>G42+G112</f>
        <v>312943.8</v>
      </c>
      <c r="H478" s="156">
        <f>H42+H112</f>
        <v>0</v>
      </c>
      <c r="I478" s="157"/>
      <c r="J478" s="157"/>
      <c r="K478" s="157"/>
      <c r="L478" s="158"/>
      <c r="M478" s="15">
        <f>M42+M112</f>
        <v>0</v>
      </c>
      <c r="N478" s="15">
        <f>N42+N112</f>
        <v>0</v>
      </c>
      <c r="O478" s="194"/>
    </row>
    <row r="479" spans="1:17" ht="35.25" customHeight="1" x14ac:dyDescent="0.3">
      <c r="A479" s="191"/>
      <c r="B479" s="191"/>
      <c r="C479" s="191"/>
      <c r="D479" s="58" t="s">
        <v>10</v>
      </c>
      <c r="E479" s="15">
        <f>F479+G479+H479+M479+N479</f>
        <v>14774107.26</v>
      </c>
      <c r="F479" s="41">
        <f>F281+F399+F43+F113+F475+F370</f>
        <v>414319.61</v>
      </c>
      <c r="G479" s="41">
        <f>G281+G399+G43+G113+G475+G370</f>
        <v>1957180.85</v>
      </c>
      <c r="H479" s="156">
        <f>H281+H399+H43+H113+H475+H370</f>
        <v>2911764.85</v>
      </c>
      <c r="I479" s="157"/>
      <c r="J479" s="157"/>
      <c r="K479" s="157"/>
      <c r="L479" s="158"/>
      <c r="M479" s="15">
        <f>M281+M399+M43+M113+M475+M370</f>
        <v>6025482.6999999993</v>
      </c>
      <c r="N479" s="15">
        <f>N281+N399+N43+N113+N475+N370</f>
        <v>3465359.25</v>
      </c>
      <c r="O479" s="194"/>
      <c r="P479" s="46"/>
    </row>
    <row r="480" spans="1:17" ht="35.25" customHeight="1" x14ac:dyDescent="0.3">
      <c r="A480" s="191"/>
      <c r="B480" s="191"/>
      <c r="C480" s="191"/>
      <c r="D480" s="40" t="s">
        <v>18</v>
      </c>
      <c r="E480" s="15">
        <f>SUM(F480:N480)</f>
        <v>8789414.2042200007</v>
      </c>
      <c r="F480" s="41">
        <f>F282+F400+F44+F114+F371+F382+F476</f>
        <v>1225355.7127999999</v>
      </c>
      <c r="G480" s="41">
        <f>G282+G400+G44+G114+G371+G382+G476</f>
        <v>2498482.3588700001</v>
      </c>
      <c r="H480" s="156">
        <f>H282+H400+H44+H114+H371+H382+H476</f>
        <v>2765965.6552299997</v>
      </c>
      <c r="I480" s="157"/>
      <c r="J480" s="157"/>
      <c r="K480" s="157"/>
      <c r="L480" s="158"/>
      <c r="M480" s="15">
        <f>M282+M400+M44+M114+M371+M382+M476</f>
        <v>1180373.17732</v>
      </c>
      <c r="N480" s="15">
        <f>N282+N400+N44+N114+N371+N382+N476</f>
        <v>1119237.2999999998</v>
      </c>
      <c r="O480" s="194"/>
      <c r="P480" s="46"/>
    </row>
    <row r="481" spans="1:16" ht="24" customHeight="1" x14ac:dyDescent="0.3">
      <c r="A481" s="192"/>
      <c r="B481" s="192"/>
      <c r="C481" s="192"/>
      <c r="D481" s="58" t="s">
        <v>12</v>
      </c>
      <c r="E481" s="15">
        <f>SUM(F481:N481)</f>
        <v>0</v>
      </c>
      <c r="F481" s="41">
        <f>F115+F283</f>
        <v>0</v>
      </c>
      <c r="G481" s="41">
        <f>G115+G283</f>
        <v>0</v>
      </c>
      <c r="H481" s="156">
        <f>H115+H283</f>
        <v>0</v>
      </c>
      <c r="I481" s="157"/>
      <c r="J481" s="157"/>
      <c r="K481" s="157"/>
      <c r="L481" s="158"/>
      <c r="M481" s="15">
        <f>M115+M283</f>
        <v>0</v>
      </c>
      <c r="N481" s="15">
        <f>N115+N283</f>
        <v>0</v>
      </c>
      <c r="O481" s="195"/>
      <c r="P481" s="46"/>
    </row>
    <row r="482" spans="1:16" ht="28.5" customHeight="1" x14ac:dyDescent="0.3">
      <c r="A482" s="59"/>
      <c r="B482" s="59"/>
      <c r="C482" s="59"/>
      <c r="D482" s="60"/>
      <c r="E482" s="61"/>
      <c r="F482" s="18"/>
      <c r="G482" s="18"/>
      <c r="H482" s="18"/>
      <c r="I482" s="18"/>
      <c r="J482" s="18"/>
      <c r="K482" s="18"/>
      <c r="L482" s="18"/>
      <c r="M482" s="18"/>
      <c r="N482" s="18"/>
      <c r="O482" s="62" t="s">
        <v>156</v>
      </c>
    </row>
    <row r="483" spans="1:16" ht="18" hidden="1" customHeight="1" x14ac:dyDescent="0.3">
      <c r="B483" s="19"/>
      <c r="C483" s="19"/>
      <c r="D483" s="19"/>
      <c r="E483" s="20"/>
      <c r="F483" s="20"/>
      <c r="G483" s="64"/>
      <c r="H483" s="19"/>
      <c r="I483" s="19"/>
      <c r="J483" s="20"/>
      <c r="K483" s="19"/>
      <c r="L483" s="19"/>
      <c r="M483" s="19"/>
      <c r="N483" s="19"/>
    </row>
    <row r="484" spans="1:16" ht="21" customHeight="1" x14ac:dyDescent="0.3">
      <c r="B484" s="19" t="s">
        <v>353</v>
      </c>
      <c r="C484" s="19"/>
      <c r="D484" s="19"/>
      <c r="E484" s="20"/>
      <c r="F484" s="20"/>
      <c r="G484" s="64"/>
      <c r="H484" s="20"/>
      <c r="I484" s="20"/>
      <c r="J484" s="20"/>
      <c r="K484" s="20"/>
      <c r="L484" s="20"/>
      <c r="M484" s="20"/>
      <c r="N484" s="20"/>
      <c r="O484" s="19" t="s">
        <v>354</v>
      </c>
    </row>
    <row r="485" spans="1:16" ht="21.75" customHeight="1" x14ac:dyDescent="0.3">
      <c r="B485" s="19"/>
      <c r="C485" s="19"/>
      <c r="D485" s="19"/>
      <c r="E485" s="19"/>
      <c r="F485" s="20"/>
      <c r="G485" s="64"/>
      <c r="H485" s="20"/>
      <c r="I485" s="20"/>
      <c r="J485" s="20"/>
      <c r="K485" s="20"/>
      <c r="L485" s="20"/>
      <c r="M485" s="19"/>
      <c r="N485" s="19"/>
      <c r="O485" s="19"/>
    </row>
    <row r="486" spans="1:16" ht="23.65" hidden="1" customHeight="1" x14ac:dyDescent="0.3">
      <c r="B486" s="19"/>
      <c r="C486" s="19"/>
      <c r="D486" s="19"/>
      <c r="E486" s="19"/>
      <c r="F486" s="20"/>
      <c r="G486" s="64"/>
      <c r="H486" s="20"/>
      <c r="I486" s="20"/>
      <c r="J486" s="20"/>
      <c r="K486" s="20"/>
      <c r="L486" s="20"/>
      <c r="M486" s="19"/>
      <c r="N486" s="19"/>
      <c r="O486" s="19"/>
    </row>
    <row r="487" spans="1:16" ht="21" customHeight="1" x14ac:dyDescent="0.3">
      <c r="B487" s="19" t="s">
        <v>561</v>
      </c>
      <c r="C487" s="19"/>
      <c r="D487" s="19"/>
      <c r="E487" s="19"/>
      <c r="F487" s="20"/>
      <c r="G487" s="19"/>
      <c r="H487" s="19"/>
      <c r="I487" s="19"/>
      <c r="J487" s="19"/>
      <c r="K487" s="19"/>
      <c r="L487" s="19"/>
      <c r="M487" s="19"/>
      <c r="N487" s="19"/>
      <c r="O487" s="19" t="s">
        <v>562</v>
      </c>
    </row>
    <row r="488" spans="1:16" ht="21" customHeight="1" x14ac:dyDescent="0.3">
      <c r="B488" s="19"/>
      <c r="C488" s="19"/>
      <c r="D488" s="19"/>
      <c r="E488" s="19"/>
      <c r="F488" s="20"/>
      <c r="G488" s="64"/>
      <c r="H488" s="19"/>
      <c r="I488" s="19"/>
      <c r="J488" s="19"/>
      <c r="K488" s="19"/>
      <c r="L488" s="19"/>
      <c r="M488" s="19"/>
      <c r="N488" s="19"/>
      <c r="O488" s="19"/>
    </row>
    <row r="489" spans="1:16" ht="21" customHeight="1" x14ac:dyDescent="0.3">
      <c r="C489" s="19"/>
    </row>
    <row r="490" spans="1:16" ht="21" customHeight="1" x14ac:dyDescent="0.3">
      <c r="A490" s="12"/>
      <c r="J490" s="46"/>
    </row>
    <row r="491" spans="1:16" ht="75" customHeight="1" x14ac:dyDescent="0.3">
      <c r="G491" s="65"/>
      <c r="H491" s="46"/>
      <c r="I491" s="46"/>
      <c r="J491" s="46"/>
      <c r="K491" s="46"/>
      <c r="L491" s="46"/>
    </row>
  </sheetData>
  <mergeCells count="1204">
    <mergeCell ref="A429:A431"/>
    <mergeCell ref="A432:A440"/>
    <mergeCell ref="O432:O440"/>
    <mergeCell ref="O441:O446"/>
    <mergeCell ref="M328:M329"/>
    <mergeCell ref="N352:N353"/>
    <mergeCell ref="N312:N313"/>
    <mergeCell ref="A327:A330"/>
    <mergeCell ref="A331:A334"/>
    <mergeCell ref="E429:E430"/>
    <mergeCell ref="C332:C334"/>
    <mergeCell ref="F418:F419"/>
    <mergeCell ref="B340:B342"/>
    <mergeCell ref="C340:C342"/>
    <mergeCell ref="B384:B386"/>
    <mergeCell ref="C374:C375"/>
    <mergeCell ref="B363:B364"/>
    <mergeCell ref="B355:B358"/>
    <mergeCell ref="M352:M353"/>
    <mergeCell ref="M336:M337"/>
    <mergeCell ref="O410:O412"/>
    <mergeCell ref="G418:G419"/>
    <mergeCell ref="B418:B420"/>
    <mergeCell ref="C352:C354"/>
    <mergeCell ref="C347:C349"/>
    <mergeCell ref="M438:M439"/>
    <mergeCell ref="A363:A364"/>
    <mergeCell ref="O407:O409"/>
    <mergeCell ref="H336:H337"/>
    <mergeCell ref="D336:D338"/>
    <mergeCell ref="D340:D342"/>
    <mergeCell ref="A402:A404"/>
    <mergeCell ref="O243:O245"/>
    <mergeCell ref="B240:B242"/>
    <mergeCell ref="O221:O227"/>
    <mergeCell ref="N240:N241"/>
    <mergeCell ref="M240:M241"/>
    <mergeCell ref="C225:C227"/>
    <mergeCell ref="D225:D227"/>
    <mergeCell ref="A258:A262"/>
    <mergeCell ref="F324:F325"/>
    <mergeCell ref="E255:E256"/>
    <mergeCell ref="H272:L272"/>
    <mergeCell ref="H273:L273"/>
    <mergeCell ref="H274:L274"/>
    <mergeCell ref="O271:O278"/>
    <mergeCell ref="O323:O326"/>
    <mergeCell ref="D360:D362"/>
    <mergeCell ref="E360:E361"/>
    <mergeCell ref="O258:O262"/>
    <mergeCell ref="O315:O318"/>
    <mergeCell ref="N320:N321"/>
    <mergeCell ref="E316:E317"/>
    <mergeCell ref="H320:H321"/>
    <mergeCell ref="A335:A338"/>
    <mergeCell ref="A307:A310"/>
    <mergeCell ref="N308:N309"/>
    <mergeCell ref="N332:N333"/>
    <mergeCell ref="H260:L260"/>
    <mergeCell ref="N293:N294"/>
    <mergeCell ref="B332:B334"/>
    <mergeCell ref="B350:B351"/>
    <mergeCell ref="M344:M345"/>
    <mergeCell ref="N251:N252"/>
    <mergeCell ref="O182:O185"/>
    <mergeCell ref="F352:F353"/>
    <mergeCell ref="G352:G353"/>
    <mergeCell ref="H324:H325"/>
    <mergeCell ref="C336:C338"/>
    <mergeCell ref="A343:A346"/>
    <mergeCell ref="N225:N226"/>
    <mergeCell ref="A221:A227"/>
    <mergeCell ref="H221:L221"/>
    <mergeCell ref="B225:B227"/>
    <mergeCell ref="C175:C178"/>
    <mergeCell ref="B164:B167"/>
    <mergeCell ref="E225:E226"/>
    <mergeCell ref="F86:F87"/>
    <mergeCell ref="D190:D192"/>
    <mergeCell ref="B152:B154"/>
    <mergeCell ref="F172:F173"/>
    <mergeCell ref="A128:A133"/>
    <mergeCell ref="M143:M144"/>
    <mergeCell ref="D143:D145"/>
    <mergeCell ref="G179:G180"/>
    <mergeCell ref="D149:D151"/>
    <mergeCell ref="D179:D181"/>
    <mergeCell ref="C172:C174"/>
    <mergeCell ref="H136:L136"/>
    <mergeCell ref="C134:C136"/>
    <mergeCell ref="C149:C151"/>
    <mergeCell ref="A146:A151"/>
    <mergeCell ref="M131:M132"/>
    <mergeCell ref="I149:L149"/>
    <mergeCell ref="D137:D139"/>
    <mergeCell ref="B155:B157"/>
    <mergeCell ref="A421:A428"/>
    <mergeCell ref="O421:O428"/>
    <mergeCell ref="H448:L448"/>
    <mergeCell ref="H447:L447"/>
    <mergeCell ref="A453:A458"/>
    <mergeCell ref="A413:A416"/>
    <mergeCell ref="C453:C455"/>
    <mergeCell ref="O175:O181"/>
    <mergeCell ref="O168:O174"/>
    <mergeCell ref="A207:A213"/>
    <mergeCell ref="A186:A192"/>
    <mergeCell ref="A182:A185"/>
    <mergeCell ref="H258:L258"/>
    <mergeCell ref="H265:L265"/>
    <mergeCell ref="O263:O270"/>
    <mergeCell ref="B263:B267"/>
    <mergeCell ref="H428:L428"/>
    <mergeCell ref="H437:L437"/>
    <mergeCell ref="A407:A409"/>
    <mergeCell ref="M320:M321"/>
    <mergeCell ref="H352:H353"/>
    <mergeCell ref="E328:E329"/>
    <mergeCell ref="M324:M325"/>
    <mergeCell ref="E324:E325"/>
    <mergeCell ref="G344:G345"/>
    <mergeCell ref="H343:L343"/>
    <mergeCell ref="H339:L339"/>
    <mergeCell ref="O307:O310"/>
    <mergeCell ref="B328:B330"/>
    <mergeCell ref="G340:G341"/>
    <mergeCell ref="N172:N173"/>
    <mergeCell ref="O214:O220"/>
    <mergeCell ref="O459:O464"/>
    <mergeCell ref="O453:O458"/>
    <mergeCell ref="O447:O452"/>
    <mergeCell ref="H450:H451"/>
    <mergeCell ref="I450:L450"/>
    <mergeCell ref="M450:M451"/>
    <mergeCell ref="N450:N451"/>
    <mergeCell ref="A447:A452"/>
    <mergeCell ref="B462:B464"/>
    <mergeCell ref="C462:C464"/>
    <mergeCell ref="D462:D464"/>
    <mergeCell ref="E462:E463"/>
    <mergeCell ref="F462:F463"/>
    <mergeCell ref="G462:G463"/>
    <mergeCell ref="H462:H463"/>
    <mergeCell ref="M462:M463"/>
    <mergeCell ref="N462:N463"/>
    <mergeCell ref="F456:F457"/>
    <mergeCell ref="G456:G457"/>
    <mergeCell ref="H456:H457"/>
    <mergeCell ref="M456:M457"/>
    <mergeCell ref="B453:B455"/>
    <mergeCell ref="H449:L449"/>
    <mergeCell ref="B450:B452"/>
    <mergeCell ref="C450:C452"/>
    <mergeCell ref="D450:D452"/>
    <mergeCell ref="E450:E451"/>
    <mergeCell ref="F450:F451"/>
    <mergeCell ref="A417:A420"/>
    <mergeCell ref="A374:A375"/>
    <mergeCell ref="A365:A368"/>
    <mergeCell ref="C355:C358"/>
    <mergeCell ref="G332:G333"/>
    <mergeCell ref="F332:F333"/>
    <mergeCell ref="D320:D322"/>
    <mergeCell ref="E320:E321"/>
    <mergeCell ref="B456:B458"/>
    <mergeCell ref="C456:C458"/>
    <mergeCell ref="D456:D458"/>
    <mergeCell ref="N456:N457"/>
    <mergeCell ref="A301:A302"/>
    <mergeCell ref="A289:A295"/>
    <mergeCell ref="C328:C330"/>
    <mergeCell ref="A405:A406"/>
    <mergeCell ref="F328:F329"/>
    <mergeCell ref="C296:C299"/>
    <mergeCell ref="A377:A380"/>
    <mergeCell ref="B387:B389"/>
    <mergeCell ref="A401:O401"/>
    <mergeCell ref="A384:A386"/>
    <mergeCell ref="B381:B382"/>
    <mergeCell ref="B383:O383"/>
    <mergeCell ref="O381:O382"/>
    <mergeCell ref="H378:H379"/>
    <mergeCell ref="B369:B372"/>
    <mergeCell ref="A323:A326"/>
    <mergeCell ref="M308:M309"/>
    <mergeCell ref="I344:L344"/>
    <mergeCell ref="O347:O349"/>
    <mergeCell ref="F308:F309"/>
    <mergeCell ref="A285:A288"/>
    <mergeCell ref="B228:B230"/>
    <mergeCell ref="A350:A354"/>
    <mergeCell ref="A347:A349"/>
    <mergeCell ref="G247:G248"/>
    <mergeCell ref="A263:A270"/>
    <mergeCell ref="E251:E252"/>
    <mergeCell ref="B258:B262"/>
    <mergeCell ref="C258:C262"/>
    <mergeCell ref="C255:C257"/>
    <mergeCell ref="F247:F248"/>
    <mergeCell ref="A250:A253"/>
    <mergeCell ref="C268:C270"/>
    <mergeCell ref="D268:D270"/>
    <mergeCell ref="D251:D253"/>
    <mergeCell ref="A355:A359"/>
    <mergeCell ref="B398:B400"/>
    <mergeCell ref="A381:A382"/>
    <mergeCell ref="C369:C372"/>
    <mergeCell ref="A369:A372"/>
    <mergeCell ref="A398:A400"/>
    <mergeCell ref="A387:A389"/>
    <mergeCell ref="B320:B322"/>
    <mergeCell ref="A319:A322"/>
    <mergeCell ref="F320:F321"/>
    <mergeCell ref="A243:A245"/>
    <mergeCell ref="B324:B326"/>
    <mergeCell ref="C324:C326"/>
    <mergeCell ref="D324:D326"/>
    <mergeCell ref="A254:A257"/>
    <mergeCell ref="A311:A314"/>
    <mergeCell ref="C243:C245"/>
    <mergeCell ref="O237:O242"/>
    <mergeCell ref="A279:A283"/>
    <mergeCell ref="A303:A306"/>
    <mergeCell ref="E234:E235"/>
    <mergeCell ref="E240:E241"/>
    <mergeCell ref="A246:A249"/>
    <mergeCell ref="I225:L225"/>
    <mergeCell ref="C231:C233"/>
    <mergeCell ref="A228:A230"/>
    <mergeCell ref="A237:A242"/>
    <mergeCell ref="A231:A236"/>
    <mergeCell ref="B93:B96"/>
    <mergeCell ref="C121:C124"/>
    <mergeCell ref="M137:M138"/>
    <mergeCell ref="N137:N138"/>
    <mergeCell ref="B137:B139"/>
    <mergeCell ref="C137:C139"/>
    <mergeCell ref="C143:C145"/>
    <mergeCell ref="H149:H150"/>
    <mergeCell ref="A121:A127"/>
    <mergeCell ref="H125:H126"/>
    <mergeCell ref="E211:E212"/>
    <mergeCell ref="C207:C210"/>
    <mergeCell ref="M225:M226"/>
    <mergeCell ref="N149:N150"/>
    <mergeCell ref="O146:O151"/>
    <mergeCell ref="E179:E180"/>
    <mergeCell ref="B182:B185"/>
    <mergeCell ref="B204:B206"/>
    <mergeCell ref="B175:B178"/>
    <mergeCell ref="B108:B110"/>
    <mergeCell ref="B116:O116"/>
    <mergeCell ref="O57:O62"/>
    <mergeCell ref="B97:B99"/>
    <mergeCell ref="B89:B92"/>
    <mergeCell ref="B82:B85"/>
    <mergeCell ref="B65:B68"/>
    <mergeCell ref="B60:B62"/>
    <mergeCell ref="B86:B88"/>
    <mergeCell ref="B111:B115"/>
    <mergeCell ref="B79:B81"/>
    <mergeCell ref="O111:O115"/>
    <mergeCell ref="O93:O99"/>
    <mergeCell ref="F108:F109"/>
    <mergeCell ref="H117:L117"/>
    <mergeCell ref="H105:L105"/>
    <mergeCell ref="H106:L106"/>
    <mergeCell ref="H63:L63"/>
    <mergeCell ref="F54:F55"/>
    <mergeCell ref="N60:N61"/>
    <mergeCell ref="N79:N80"/>
    <mergeCell ref="O104:O110"/>
    <mergeCell ref="M108:M109"/>
    <mergeCell ref="N108:N109"/>
    <mergeCell ref="M69:M70"/>
    <mergeCell ref="N69:N70"/>
    <mergeCell ref="O82:O88"/>
    <mergeCell ref="N97:N98"/>
    <mergeCell ref="O100:O103"/>
    <mergeCell ref="O63:O64"/>
    <mergeCell ref="H100:L100"/>
    <mergeCell ref="H86:H87"/>
    <mergeCell ref="C86:C88"/>
    <mergeCell ref="C82:C85"/>
    <mergeCell ref="A22:A28"/>
    <mergeCell ref="A47:A50"/>
    <mergeCell ref="G60:G61"/>
    <mergeCell ref="C29:C31"/>
    <mergeCell ref="C47:C50"/>
    <mergeCell ref="D38:D40"/>
    <mergeCell ref="A57:A62"/>
    <mergeCell ref="H38:H39"/>
    <mergeCell ref="H69:H70"/>
    <mergeCell ref="H79:H80"/>
    <mergeCell ref="H76:L76"/>
    <mergeCell ref="H77:L77"/>
    <mergeCell ref="H78:L78"/>
    <mergeCell ref="H82:L82"/>
    <mergeCell ref="H83:L83"/>
    <mergeCell ref="H84:L84"/>
    <mergeCell ref="H85:L85"/>
    <mergeCell ref="A65:A71"/>
    <mergeCell ref="B54:B56"/>
    <mergeCell ref="A63:A64"/>
    <mergeCell ref="C69:C71"/>
    <mergeCell ref="C76:C78"/>
    <mergeCell ref="A72:A75"/>
    <mergeCell ref="H64:L64"/>
    <mergeCell ref="B69:B71"/>
    <mergeCell ref="F69:F70"/>
    <mergeCell ref="G54:G55"/>
    <mergeCell ref="H65:L65"/>
    <mergeCell ref="H66:L66"/>
    <mergeCell ref="H67:L67"/>
    <mergeCell ref="H68:L68"/>
    <mergeCell ref="E69:E70"/>
    <mergeCell ref="N19:N20"/>
    <mergeCell ref="E54:E55"/>
    <mergeCell ref="G19:G20"/>
    <mergeCell ref="F60:F61"/>
    <mergeCell ref="B32:B34"/>
    <mergeCell ref="B22:B25"/>
    <mergeCell ref="H54:H55"/>
    <mergeCell ref="H53:L53"/>
    <mergeCell ref="I54:L54"/>
    <mergeCell ref="H59:L59"/>
    <mergeCell ref="I60:L60"/>
    <mergeCell ref="A41:A45"/>
    <mergeCell ref="E60:E61"/>
    <mergeCell ref="B57:B59"/>
    <mergeCell ref="C57:C59"/>
    <mergeCell ref="H57:L57"/>
    <mergeCell ref="E38:E39"/>
    <mergeCell ref="B41:B45"/>
    <mergeCell ref="F26:F27"/>
    <mergeCell ref="C41:C45"/>
    <mergeCell ref="M32:M33"/>
    <mergeCell ref="C38:C40"/>
    <mergeCell ref="H36:L36"/>
    <mergeCell ref="H60:H61"/>
    <mergeCell ref="D60:D62"/>
    <mergeCell ref="C60:C62"/>
    <mergeCell ref="A35:A40"/>
    <mergeCell ref="M26:M27"/>
    <mergeCell ref="B51:B53"/>
    <mergeCell ref="C54:C56"/>
    <mergeCell ref="H37:L37"/>
    <mergeCell ref="N32:N33"/>
    <mergeCell ref="O16:O21"/>
    <mergeCell ref="O47:O50"/>
    <mergeCell ref="H41:L41"/>
    <mergeCell ref="H42:L42"/>
    <mergeCell ref="A29:A34"/>
    <mergeCell ref="A16:A21"/>
    <mergeCell ref="A51:A56"/>
    <mergeCell ref="C32:C34"/>
    <mergeCell ref="E19:E20"/>
    <mergeCell ref="D19:D21"/>
    <mergeCell ref="E26:E27"/>
    <mergeCell ref="B47:B50"/>
    <mergeCell ref="B29:B31"/>
    <mergeCell ref="C26:C28"/>
    <mergeCell ref="B26:B28"/>
    <mergeCell ref="C22:C25"/>
    <mergeCell ref="E143:E144"/>
    <mergeCell ref="F143:F144"/>
    <mergeCell ref="H24:L24"/>
    <mergeCell ref="H25:L25"/>
    <mergeCell ref="I26:L26"/>
    <mergeCell ref="H29:L29"/>
    <mergeCell ref="H30:L30"/>
    <mergeCell ref="H31:L31"/>
    <mergeCell ref="I32:L32"/>
    <mergeCell ref="H32:H33"/>
    <mergeCell ref="N143:N144"/>
    <mergeCell ref="B143:B145"/>
    <mergeCell ref="H115:L115"/>
    <mergeCell ref="H119:L119"/>
    <mergeCell ref="I137:L137"/>
    <mergeCell ref="I143:L143"/>
    <mergeCell ref="N2:O2"/>
    <mergeCell ref="O35:O40"/>
    <mergeCell ref="D54:D56"/>
    <mergeCell ref="O41:O45"/>
    <mergeCell ref="C51:C53"/>
    <mergeCell ref="C19:C21"/>
    <mergeCell ref="B11:O11"/>
    <mergeCell ref="D26:D28"/>
    <mergeCell ref="O29:O34"/>
    <mergeCell ref="D32:D34"/>
    <mergeCell ref="C12:C15"/>
    <mergeCell ref="B12:B15"/>
    <mergeCell ref="G26:G27"/>
    <mergeCell ref="G32:G33"/>
    <mergeCell ref="F32:F33"/>
    <mergeCell ref="E32:E33"/>
    <mergeCell ref="G38:G39"/>
    <mergeCell ref="C8:C9"/>
    <mergeCell ref="O8:O9"/>
    <mergeCell ref="H19:H20"/>
    <mergeCell ref="M19:M20"/>
    <mergeCell ref="B19:B21"/>
    <mergeCell ref="H48:L48"/>
    <mergeCell ref="I38:L38"/>
    <mergeCell ref="H43:L43"/>
    <mergeCell ref="H44:L44"/>
    <mergeCell ref="O12:O15"/>
    <mergeCell ref="O22:O28"/>
    <mergeCell ref="N54:N55"/>
    <mergeCell ref="O51:O56"/>
    <mergeCell ref="N26:N27"/>
    <mergeCell ref="H26:H27"/>
    <mergeCell ref="C16:C18"/>
    <mergeCell ref="G172:G173"/>
    <mergeCell ref="E149:E150"/>
    <mergeCell ref="F149:F150"/>
    <mergeCell ref="G131:G132"/>
    <mergeCell ref="C140:C142"/>
    <mergeCell ref="M125:M126"/>
    <mergeCell ref="N125:N126"/>
    <mergeCell ref="G97:G98"/>
    <mergeCell ref="B149:B151"/>
    <mergeCell ref="B168:B171"/>
    <mergeCell ref="H172:H173"/>
    <mergeCell ref="B140:B142"/>
    <mergeCell ref="I97:L97"/>
    <mergeCell ref="G143:G144"/>
    <mergeCell ref="N131:N132"/>
    <mergeCell ref="H137:H138"/>
    <mergeCell ref="F137:F138"/>
    <mergeCell ref="H129:L129"/>
    <mergeCell ref="H130:L130"/>
    <mergeCell ref="H134:L134"/>
    <mergeCell ref="H135:L135"/>
    <mergeCell ref="B131:B133"/>
    <mergeCell ref="B172:B174"/>
    <mergeCell ref="M97:M98"/>
    <mergeCell ref="E108:E109"/>
    <mergeCell ref="B35:B37"/>
    <mergeCell ref="E86:E87"/>
    <mergeCell ref="B16:B18"/>
    <mergeCell ref="F19:F20"/>
    <mergeCell ref="B38:B40"/>
    <mergeCell ref="N38:N39"/>
    <mergeCell ref="O468:O473"/>
    <mergeCell ref="H128:L128"/>
    <mergeCell ref="A474:A476"/>
    <mergeCell ref="A477:A481"/>
    <mergeCell ref="B474:B476"/>
    <mergeCell ref="B465:B467"/>
    <mergeCell ref="C477:C481"/>
    <mergeCell ref="B444:B446"/>
    <mergeCell ref="C444:C446"/>
    <mergeCell ref="C465:C467"/>
    <mergeCell ref="A410:A412"/>
    <mergeCell ref="B432:B433"/>
    <mergeCell ref="C432:C433"/>
    <mergeCell ref="M418:M419"/>
    <mergeCell ref="F225:F226"/>
    <mergeCell ref="G225:G226"/>
    <mergeCell ref="H225:H226"/>
    <mergeCell ref="M204:M205"/>
    <mergeCell ref="C204:C206"/>
    <mergeCell ref="D204:D206"/>
    <mergeCell ref="H468:L468"/>
    <mergeCell ref="H467:L467"/>
    <mergeCell ref="C247:C249"/>
    <mergeCell ref="C234:C236"/>
    <mergeCell ref="A459:A464"/>
    <mergeCell ref="A168:A174"/>
    <mergeCell ref="B190:B192"/>
    <mergeCell ref="C190:C192"/>
    <mergeCell ref="D211:D213"/>
    <mergeCell ref="A200:A206"/>
    <mergeCell ref="C168:C171"/>
    <mergeCell ref="H131:H132"/>
    <mergeCell ref="O477:O481"/>
    <mergeCell ref="O474:O476"/>
    <mergeCell ref="C474:C476"/>
    <mergeCell ref="O465:O467"/>
    <mergeCell ref="D438:D440"/>
    <mergeCell ref="E438:E439"/>
    <mergeCell ref="F438:F439"/>
    <mergeCell ref="G438:G439"/>
    <mergeCell ref="B447:B449"/>
    <mergeCell ref="C447:C449"/>
    <mergeCell ref="B459:B461"/>
    <mergeCell ref="C459:C461"/>
    <mergeCell ref="B421:B422"/>
    <mergeCell ref="M429:M430"/>
    <mergeCell ref="N471:N472"/>
    <mergeCell ref="A465:A467"/>
    <mergeCell ref="C471:C473"/>
    <mergeCell ref="D471:D473"/>
    <mergeCell ref="E471:E472"/>
    <mergeCell ref="M444:M445"/>
    <mergeCell ref="A468:A473"/>
    <mergeCell ref="B471:B473"/>
    <mergeCell ref="F471:F472"/>
    <mergeCell ref="G471:G472"/>
    <mergeCell ref="M471:M472"/>
    <mergeCell ref="H481:L481"/>
    <mergeCell ref="H480:L480"/>
    <mergeCell ref="H479:L479"/>
    <mergeCell ref="H478:L478"/>
    <mergeCell ref="H477:L477"/>
    <mergeCell ref="H476:L476"/>
    <mergeCell ref="H475:L475"/>
    <mergeCell ref="A8:A9"/>
    <mergeCell ref="B8:B9"/>
    <mergeCell ref="D8:D9"/>
    <mergeCell ref="H9:L9"/>
    <mergeCell ref="H10:L10"/>
    <mergeCell ref="H471:H472"/>
    <mergeCell ref="B477:B481"/>
    <mergeCell ref="N255:N256"/>
    <mergeCell ref="O228:O230"/>
    <mergeCell ref="D218:D220"/>
    <mergeCell ref="E218:E219"/>
    <mergeCell ref="F218:F219"/>
    <mergeCell ref="M218:M219"/>
    <mergeCell ref="N218:N219"/>
    <mergeCell ref="H211:H212"/>
    <mergeCell ref="G240:G241"/>
    <mergeCell ref="C240:C242"/>
    <mergeCell ref="O200:O206"/>
    <mergeCell ref="N234:N235"/>
    <mergeCell ref="N204:N205"/>
    <mergeCell ref="N190:N191"/>
    <mergeCell ref="N211:N212"/>
    <mergeCell ref="B200:B203"/>
    <mergeCell ref="O72:O75"/>
    <mergeCell ref="H104:L104"/>
    <mergeCell ref="C152:C154"/>
    <mergeCell ref="C104:C107"/>
    <mergeCell ref="C438:C440"/>
    <mergeCell ref="B221:B224"/>
    <mergeCell ref="C221:C224"/>
    <mergeCell ref="A140:A145"/>
    <mergeCell ref="A12:A15"/>
    <mergeCell ref="H12:L12"/>
    <mergeCell ref="H13:L13"/>
    <mergeCell ref="H14:L14"/>
    <mergeCell ref="H15:L15"/>
    <mergeCell ref="H16:L16"/>
    <mergeCell ref="H17:L17"/>
    <mergeCell ref="H140:L140"/>
    <mergeCell ref="H141:L141"/>
    <mergeCell ref="H142:L142"/>
    <mergeCell ref="H114:L114"/>
    <mergeCell ref="H45:L45"/>
    <mergeCell ref="H47:L47"/>
    <mergeCell ref="C35:C37"/>
    <mergeCell ref="B46:O46"/>
    <mergeCell ref="M38:M39"/>
    <mergeCell ref="M54:M55"/>
    <mergeCell ref="F38:F39"/>
    <mergeCell ref="H74:L74"/>
    <mergeCell ref="H75:L75"/>
    <mergeCell ref="M86:M87"/>
    <mergeCell ref="M60:M61"/>
    <mergeCell ref="H118:L118"/>
    <mergeCell ref="H51:L51"/>
    <mergeCell ref="H52:L52"/>
    <mergeCell ref="I69:L69"/>
    <mergeCell ref="I79:L79"/>
    <mergeCell ref="I86:L86"/>
    <mergeCell ref="I131:L131"/>
    <mergeCell ref="F79:F80"/>
    <mergeCell ref="H111:L111"/>
    <mergeCell ref="H112:L112"/>
    <mergeCell ref="F125:F126"/>
    <mergeCell ref="O164:O167"/>
    <mergeCell ref="M79:M80"/>
    <mergeCell ref="E131:E132"/>
    <mergeCell ref="C164:C167"/>
    <mergeCell ref="D131:D133"/>
    <mergeCell ref="C72:C75"/>
    <mergeCell ref="E79:E80"/>
    <mergeCell ref="H154:L154"/>
    <mergeCell ref="H72:L72"/>
    <mergeCell ref="H73:L73"/>
    <mergeCell ref="M155:M156"/>
    <mergeCell ref="N155:N156"/>
    <mergeCell ref="G108:G109"/>
    <mergeCell ref="C131:C133"/>
    <mergeCell ref="O152:O157"/>
    <mergeCell ref="H121:L121"/>
    <mergeCell ref="H122:L122"/>
    <mergeCell ref="H123:L123"/>
    <mergeCell ref="H124:L124"/>
    <mergeCell ref="H143:H144"/>
    <mergeCell ref="H146:L146"/>
    <mergeCell ref="H147:L147"/>
    <mergeCell ref="C117:C120"/>
    <mergeCell ref="H107:L107"/>
    <mergeCell ref="H108:H109"/>
    <mergeCell ref="I108:L108"/>
    <mergeCell ref="H101:L101"/>
    <mergeCell ref="H102:L102"/>
    <mergeCell ref="H103:L103"/>
    <mergeCell ref="H97:H98"/>
    <mergeCell ref="D86:D88"/>
    <mergeCell ref="G86:G87"/>
    <mergeCell ref="B72:B75"/>
    <mergeCell ref="B63:B64"/>
    <mergeCell ref="C63:C64"/>
    <mergeCell ref="C89:C92"/>
    <mergeCell ref="C93:C96"/>
    <mergeCell ref="A89:A92"/>
    <mergeCell ref="A104:A110"/>
    <mergeCell ref="B104:B107"/>
    <mergeCell ref="H89:L89"/>
    <mergeCell ref="H90:L90"/>
    <mergeCell ref="H91:L91"/>
    <mergeCell ref="H92:L92"/>
    <mergeCell ref="H93:L93"/>
    <mergeCell ref="H94:L94"/>
    <mergeCell ref="H95:L95"/>
    <mergeCell ref="O140:O145"/>
    <mergeCell ref="O117:O120"/>
    <mergeCell ref="O134:O139"/>
    <mergeCell ref="G69:G70"/>
    <mergeCell ref="O89:O92"/>
    <mergeCell ref="O76:O81"/>
    <mergeCell ref="O65:O71"/>
    <mergeCell ref="O128:O133"/>
    <mergeCell ref="O121:O127"/>
    <mergeCell ref="N86:N87"/>
    <mergeCell ref="B76:B78"/>
    <mergeCell ref="B117:B120"/>
    <mergeCell ref="D79:D81"/>
    <mergeCell ref="D69:D71"/>
    <mergeCell ref="C65:C68"/>
    <mergeCell ref="C79:C81"/>
    <mergeCell ref="C97:C99"/>
    <mergeCell ref="C200:C203"/>
    <mergeCell ref="H182:L182"/>
    <mergeCell ref="H234:H235"/>
    <mergeCell ref="E137:E138"/>
    <mergeCell ref="I155:L155"/>
    <mergeCell ref="E97:E98"/>
    <mergeCell ref="A111:A115"/>
    <mergeCell ref="C125:C127"/>
    <mergeCell ref="C108:C110"/>
    <mergeCell ref="D108:D110"/>
    <mergeCell ref="G79:G80"/>
    <mergeCell ref="H96:L96"/>
    <mergeCell ref="A117:A120"/>
    <mergeCell ref="B121:B124"/>
    <mergeCell ref="D125:D127"/>
    <mergeCell ref="E125:E126"/>
    <mergeCell ref="A134:A139"/>
    <mergeCell ref="G137:G138"/>
    <mergeCell ref="B128:B130"/>
    <mergeCell ref="A82:A88"/>
    <mergeCell ref="C128:C130"/>
    <mergeCell ref="B125:B127"/>
    <mergeCell ref="H196:L196"/>
    <mergeCell ref="B134:B136"/>
    <mergeCell ref="B146:B148"/>
    <mergeCell ref="A76:A81"/>
    <mergeCell ref="C155:C157"/>
    <mergeCell ref="D155:D157"/>
    <mergeCell ref="E155:E156"/>
    <mergeCell ref="F155:F156"/>
    <mergeCell ref="G155:G156"/>
    <mergeCell ref="H155:H156"/>
    <mergeCell ref="D247:D249"/>
    <mergeCell ref="H259:L259"/>
    <mergeCell ref="H247:H248"/>
    <mergeCell ref="B285:B288"/>
    <mergeCell ref="H304:H305"/>
    <mergeCell ref="H289:L289"/>
    <mergeCell ref="G293:G294"/>
    <mergeCell ref="E293:E294"/>
    <mergeCell ref="B271:B275"/>
    <mergeCell ref="D304:D306"/>
    <mergeCell ref="H168:L168"/>
    <mergeCell ref="H169:L169"/>
    <mergeCell ref="M179:M180"/>
    <mergeCell ref="H179:H180"/>
    <mergeCell ref="G190:G191"/>
    <mergeCell ref="C186:C189"/>
    <mergeCell ref="H190:H191"/>
    <mergeCell ref="H178:L178"/>
    <mergeCell ref="D172:D174"/>
    <mergeCell ref="E172:E173"/>
    <mergeCell ref="H214:L214"/>
    <mergeCell ref="H229:L229"/>
    <mergeCell ref="C182:C185"/>
    <mergeCell ref="C211:C213"/>
    <mergeCell ref="H202:L202"/>
    <mergeCell ref="H201:L201"/>
    <mergeCell ref="D234:D236"/>
    <mergeCell ref="H175:L175"/>
    <mergeCell ref="H195:L195"/>
    <mergeCell ref="H194:L194"/>
    <mergeCell ref="H193:L193"/>
    <mergeCell ref="H189:L189"/>
    <mergeCell ref="M268:M269"/>
    <mergeCell ref="M293:M294"/>
    <mergeCell ref="D328:D330"/>
    <mergeCell ref="H266:L266"/>
    <mergeCell ref="H244:L244"/>
    <mergeCell ref="H237:L237"/>
    <mergeCell ref="H233:L233"/>
    <mergeCell ref="H232:L232"/>
    <mergeCell ref="M304:M305"/>
    <mergeCell ref="A152:A157"/>
    <mergeCell ref="B237:B239"/>
    <mergeCell ref="E190:E191"/>
    <mergeCell ref="F234:F235"/>
    <mergeCell ref="F204:F205"/>
    <mergeCell ref="G204:G205"/>
    <mergeCell ref="B234:B236"/>
    <mergeCell ref="C237:C239"/>
    <mergeCell ref="B186:B189"/>
    <mergeCell ref="H152:L152"/>
    <mergeCell ref="H153:L153"/>
    <mergeCell ref="I204:L204"/>
    <mergeCell ref="H240:H241"/>
    <mergeCell ref="H187:L187"/>
    <mergeCell ref="H245:L245"/>
    <mergeCell ref="B207:B210"/>
    <mergeCell ref="H261:L261"/>
    <mergeCell ref="H262:L262"/>
    <mergeCell ref="C263:C267"/>
    <mergeCell ref="H267:L267"/>
    <mergeCell ref="H254:L254"/>
    <mergeCell ref="H263:L263"/>
    <mergeCell ref="D312:D314"/>
    <mergeCell ref="A315:A318"/>
    <mergeCell ref="A164:A167"/>
    <mergeCell ref="H167:L167"/>
    <mergeCell ref="B308:B310"/>
    <mergeCell ref="G312:G313"/>
    <mergeCell ref="A296:A299"/>
    <mergeCell ref="B247:B249"/>
    <mergeCell ref="H250:L250"/>
    <mergeCell ref="B255:B257"/>
    <mergeCell ref="A271:A278"/>
    <mergeCell ref="B214:B217"/>
    <mergeCell ref="B251:B253"/>
    <mergeCell ref="H255:H256"/>
    <mergeCell ref="G251:G252"/>
    <mergeCell ref="F255:F256"/>
    <mergeCell ref="B211:B213"/>
    <mergeCell ref="H203:L203"/>
    <mergeCell ref="H200:L200"/>
    <mergeCell ref="H238:L238"/>
    <mergeCell ref="B231:B233"/>
    <mergeCell ref="B316:B318"/>
    <mergeCell ref="B312:B314"/>
    <mergeCell ref="E268:E269"/>
    <mergeCell ref="F268:F269"/>
    <mergeCell ref="B268:B270"/>
    <mergeCell ref="H288:L288"/>
    <mergeCell ref="H281:L281"/>
    <mergeCell ref="H279:L279"/>
    <mergeCell ref="C276:C278"/>
    <mergeCell ref="F276:F277"/>
    <mergeCell ref="H308:H309"/>
    <mergeCell ref="H271:L271"/>
    <mergeCell ref="G324:G325"/>
    <mergeCell ref="G328:G329"/>
    <mergeCell ref="N328:N329"/>
    <mergeCell ref="N336:N337"/>
    <mergeCell ref="C289:C292"/>
    <mergeCell ref="F293:F294"/>
    <mergeCell ref="G304:G305"/>
    <mergeCell ref="C304:C306"/>
    <mergeCell ref="O289:O295"/>
    <mergeCell ref="M316:M317"/>
    <mergeCell ref="O331:O334"/>
    <mergeCell ref="B296:B299"/>
    <mergeCell ref="B293:B295"/>
    <mergeCell ref="C293:C295"/>
    <mergeCell ref="E312:E313"/>
    <mergeCell ref="D332:D334"/>
    <mergeCell ref="B301:B302"/>
    <mergeCell ref="B289:B292"/>
    <mergeCell ref="C312:C314"/>
    <mergeCell ref="H291:L291"/>
    <mergeCell ref="H290:L290"/>
    <mergeCell ref="O303:O306"/>
    <mergeCell ref="H299:L299"/>
    <mergeCell ref="H298:L298"/>
    <mergeCell ref="H297:L297"/>
    <mergeCell ref="H296:L296"/>
    <mergeCell ref="H292:L292"/>
    <mergeCell ref="G320:G321"/>
    <mergeCell ref="O301:O302"/>
    <mergeCell ref="O327:O330"/>
    <mergeCell ref="D352:D354"/>
    <mergeCell ref="C363:C364"/>
    <mergeCell ref="F360:F361"/>
    <mergeCell ref="H360:H361"/>
    <mergeCell ref="B276:B278"/>
    <mergeCell ref="C285:C288"/>
    <mergeCell ref="H340:H341"/>
    <mergeCell ref="D308:D310"/>
    <mergeCell ref="G308:G309"/>
    <mergeCell ref="A284:O284"/>
    <mergeCell ref="H268:H269"/>
    <mergeCell ref="I268:L268"/>
    <mergeCell ref="C320:C322"/>
    <mergeCell ref="O335:O338"/>
    <mergeCell ref="O339:O342"/>
    <mergeCell ref="B279:B283"/>
    <mergeCell ref="A339:A342"/>
    <mergeCell ref="N268:N269"/>
    <mergeCell ref="O296:O299"/>
    <mergeCell ref="B304:B306"/>
    <mergeCell ref="H287:L287"/>
    <mergeCell ref="H286:L286"/>
    <mergeCell ref="H283:L283"/>
    <mergeCell ref="H282:L282"/>
    <mergeCell ref="C271:C275"/>
    <mergeCell ref="N304:N305"/>
    <mergeCell ref="C308:C310"/>
    <mergeCell ref="G268:G269"/>
    <mergeCell ref="N276:N277"/>
    <mergeCell ref="I340:L340"/>
    <mergeCell ref="N340:N341"/>
    <mergeCell ref="O311:O314"/>
    <mergeCell ref="O377:O380"/>
    <mergeCell ref="C421:C422"/>
    <mergeCell ref="O429:O431"/>
    <mergeCell ref="O413:O416"/>
    <mergeCell ref="O417:O420"/>
    <mergeCell ref="O402:O404"/>
    <mergeCell ref="H328:H329"/>
    <mergeCell ref="M276:M277"/>
    <mergeCell ref="M332:M333"/>
    <mergeCell ref="E332:E333"/>
    <mergeCell ref="C316:C318"/>
    <mergeCell ref="F304:F305"/>
    <mergeCell ref="F336:F337"/>
    <mergeCell ref="H293:H294"/>
    <mergeCell ref="C301:C302"/>
    <mergeCell ref="H375:L375"/>
    <mergeCell ref="H374:L374"/>
    <mergeCell ref="H301:L301"/>
    <mergeCell ref="G360:G361"/>
    <mergeCell ref="H302:L302"/>
    <mergeCell ref="H280:L280"/>
    <mergeCell ref="N344:N345"/>
    <mergeCell ref="H285:L285"/>
    <mergeCell ref="D316:D318"/>
    <mergeCell ref="E336:E337"/>
    <mergeCell ref="H332:H333"/>
    <mergeCell ref="H316:H317"/>
    <mergeCell ref="I360:L360"/>
    <mergeCell ref="G316:G317"/>
    <mergeCell ref="D293:D295"/>
    <mergeCell ref="N316:N317"/>
    <mergeCell ref="G336:G337"/>
    <mergeCell ref="I418:L418"/>
    <mergeCell ref="H412:L412"/>
    <mergeCell ref="H411:L411"/>
    <mergeCell ref="H410:L410"/>
    <mergeCell ref="H422:L422"/>
    <mergeCell ref="B429:B431"/>
    <mergeCell ref="C429:C431"/>
    <mergeCell ref="O285:O288"/>
    <mergeCell ref="F340:F341"/>
    <mergeCell ref="N324:N325"/>
    <mergeCell ref="M312:M313"/>
    <mergeCell ref="F312:F313"/>
    <mergeCell ref="C279:C283"/>
    <mergeCell ref="O343:O346"/>
    <mergeCell ref="I293:L293"/>
    <mergeCell ref="N438:N439"/>
    <mergeCell ref="H382:L382"/>
    <mergeCell ref="H421:L421"/>
    <mergeCell ref="H417:L417"/>
    <mergeCell ref="H405:L405"/>
    <mergeCell ref="H404:L404"/>
    <mergeCell ref="H403:L403"/>
    <mergeCell ref="D378:D380"/>
    <mergeCell ref="O384:O386"/>
    <mergeCell ref="H387:L387"/>
    <mergeCell ref="C402:C404"/>
    <mergeCell ref="H400:L400"/>
    <mergeCell ref="H406:L406"/>
    <mergeCell ref="C418:C420"/>
    <mergeCell ref="D418:D420"/>
    <mergeCell ref="C381:C382"/>
    <mergeCell ref="O405:O406"/>
    <mergeCell ref="E344:E345"/>
    <mergeCell ref="F344:F345"/>
    <mergeCell ref="B413:B414"/>
    <mergeCell ref="B360:B362"/>
    <mergeCell ref="B374:B375"/>
    <mergeCell ref="B366:B368"/>
    <mergeCell ref="B441:B443"/>
    <mergeCell ref="C441:C443"/>
    <mergeCell ref="C384:C386"/>
    <mergeCell ref="E407:E408"/>
    <mergeCell ref="F407:F408"/>
    <mergeCell ref="H407:H408"/>
    <mergeCell ref="H432:L432"/>
    <mergeCell ref="H433:L433"/>
    <mergeCell ref="H436:L436"/>
    <mergeCell ref="H441:L441"/>
    <mergeCell ref="H399:L399"/>
    <mergeCell ref="H398:L398"/>
    <mergeCell ref="H443:L443"/>
    <mergeCell ref="H442:L442"/>
    <mergeCell ref="G407:G408"/>
    <mergeCell ref="C398:C400"/>
    <mergeCell ref="C407:C409"/>
    <mergeCell ref="B438:B440"/>
    <mergeCell ref="B407:B409"/>
    <mergeCell ref="E418:E419"/>
    <mergeCell ref="D429:D431"/>
    <mergeCell ref="G429:G430"/>
    <mergeCell ref="H429:H430"/>
    <mergeCell ref="C405:C406"/>
    <mergeCell ref="C410:C412"/>
    <mergeCell ref="H418:H419"/>
    <mergeCell ref="H393:L393"/>
    <mergeCell ref="H396:L396"/>
    <mergeCell ref="H397:L397"/>
    <mergeCell ref="O350:O354"/>
    <mergeCell ref="C350:C351"/>
    <mergeCell ref="B352:B354"/>
    <mergeCell ref="B347:B349"/>
    <mergeCell ref="B344:B346"/>
    <mergeCell ref="O360:O362"/>
    <mergeCell ref="M366:M367"/>
    <mergeCell ref="O363:O364"/>
    <mergeCell ref="O374:O375"/>
    <mergeCell ref="O319:O322"/>
    <mergeCell ref="F316:F317"/>
    <mergeCell ref="E340:E341"/>
    <mergeCell ref="D444:D446"/>
    <mergeCell ref="O355:O359"/>
    <mergeCell ref="G366:G367"/>
    <mergeCell ref="C366:C368"/>
    <mergeCell ref="E352:E353"/>
    <mergeCell ref="N378:N379"/>
    <mergeCell ref="H350:L350"/>
    <mergeCell ref="H349:L349"/>
    <mergeCell ref="H348:L348"/>
    <mergeCell ref="D344:D346"/>
    <mergeCell ref="H344:H345"/>
    <mergeCell ref="H372:L372"/>
    <mergeCell ref="H386:L386"/>
    <mergeCell ref="H385:L385"/>
    <mergeCell ref="M407:M408"/>
    <mergeCell ref="O387:O389"/>
    <mergeCell ref="B402:B404"/>
    <mergeCell ref="F2:G2"/>
    <mergeCell ref="A4:O4"/>
    <mergeCell ref="F251:F252"/>
    <mergeCell ref="D255:D257"/>
    <mergeCell ref="B243:B245"/>
    <mergeCell ref="A5:O5"/>
    <mergeCell ref="E247:E248"/>
    <mergeCell ref="C179:C181"/>
    <mergeCell ref="G211:G212"/>
    <mergeCell ref="C146:C148"/>
    <mergeCell ref="F179:F180"/>
    <mergeCell ref="B179:B181"/>
    <mergeCell ref="G149:G150"/>
    <mergeCell ref="E204:E205"/>
    <mergeCell ref="G218:G219"/>
    <mergeCell ref="F211:F212"/>
    <mergeCell ref="G234:G235"/>
    <mergeCell ref="M149:M150"/>
    <mergeCell ref="H218:H219"/>
    <mergeCell ref="C228:C230"/>
    <mergeCell ref="M190:M191"/>
    <mergeCell ref="O231:O236"/>
    <mergeCell ref="I247:L247"/>
    <mergeCell ref="I251:L251"/>
    <mergeCell ref="O246:O249"/>
    <mergeCell ref="O250:O253"/>
    <mergeCell ref="A6:O6"/>
    <mergeCell ref="E8:E9"/>
    <mergeCell ref="F8:N8"/>
    <mergeCell ref="A7:O7"/>
    <mergeCell ref="M172:M173"/>
    <mergeCell ref="H148:L148"/>
    <mergeCell ref="A158:A160"/>
    <mergeCell ref="A161:A163"/>
    <mergeCell ref="B161:B163"/>
    <mergeCell ref="C161:C163"/>
    <mergeCell ref="H161:L161"/>
    <mergeCell ref="H162:L162"/>
    <mergeCell ref="H163:L163"/>
    <mergeCell ref="A175:A181"/>
    <mergeCell ref="H164:L164"/>
    <mergeCell ref="H165:L165"/>
    <mergeCell ref="H166:L166"/>
    <mergeCell ref="A93:A99"/>
    <mergeCell ref="D97:D99"/>
    <mergeCell ref="G125:G126"/>
    <mergeCell ref="F97:F98"/>
    <mergeCell ref="I125:L125"/>
    <mergeCell ref="C111:C115"/>
    <mergeCell ref="H120:L120"/>
    <mergeCell ref="A100:A103"/>
    <mergeCell ref="B100:B103"/>
    <mergeCell ref="C100:C103"/>
    <mergeCell ref="B158:B160"/>
    <mergeCell ref="C158:C160"/>
    <mergeCell ref="H158:L158"/>
    <mergeCell ref="I172:L172"/>
    <mergeCell ref="I179:L179"/>
    <mergeCell ref="P190:P192"/>
    <mergeCell ref="A193:A199"/>
    <mergeCell ref="B193:B196"/>
    <mergeCell ref="C193:C196"/>
    <mergeCell ref="O193:O199"/>
    <mergeCell ref="B197:B199"/>
    <mergeCell ref="C197:C199"/>
    <mergeCell ref="D197:D199"/>
    <mergeCell ref="E197:E198"/>
    <mergeCell ref="F197:F198"/>
    <mergeCell ref="G197:G198"/>
    <mergeCell ref="H197:H198"/>
    <mergeCell ref="M197:M198"/>
    <mergeCell ref="M211:M212"/>
    <mergeCell ref="G255:G256"/>
    <mergeCell ref="N247:N248"/>
    <mergeCell ref="N179:N180"/>
    <mergeCell ref="C214:C217"/>
    <mergeCell ref="D240:D242"/>
    <mergeCell ref="B218:B220"/>
    <mergeCell ref="C218:C220"/>
    <mergeCell ref="A214:A220"/>
    <mergeCell ref="M234:M235"/>
    <mergeCell ref="H188:L188"/>
    <mergeCell ref="H183:L183"/>
    <mergeCell ref="H184:L184"/>
    <mergeCell ref="H185:L185"/>
    <mergeCell ref="F240:F241"/>
    <mergeCell ref="H215:L215"/>
    <mergeCell ref="M251:M252"/>
    <mergeCell ref="H239:L239"/>
    <mergeCell ref="C251:C253"/>
    <mergeCell ref="H18:L18"/>
    <mergeCell ref="I19:L19"/>
    <mergeCell ref="H22:L22"/>
    <mergeCell ref="H23:L23"/>
    <mergeCell ref="H49:L49"/>
    <mergeCell ref="H50:L50"/>
    <mergeCell ref="F190:F191"/>
    <mergeCell ref="O207:O213"/>
    <mergeCell ref="O186:O192"/>
    <mergeCell ref="E308:E309"/>
    <mergeCell ref="H186:L186"/>
    <mergeCell ref="I190:L190"/>
    <mergeCell ref="I211:L211"/>
    <mergeCell ref="I218:L218"/>
    <mergeCell ref="H208:L208"/>
    <mergeCell ref="H207:L207"/>
    <mergeCell ref="H58:L58"/>
    <mergeCell ref="O161:O163"/>
    <mergeCell ref="H251:H252"/>
    <mergeCell ref="H170:L170"/>
    <mergeCell ref="H171:L171"/>
    <mergeCell ref="H176:L176"/>
    <mergeCell ref="H177:L177"/>
    <mergeCell ref="H35:L35"/>
    <mergeCell ref="H113:L113"/>
    <mergeCell ref="F131:F132"/>
    <mergeCell ref="H159:L159"/>
    <mergeCell ref="H160:L160"/>
    <mergeCell ref="O158:O160"/>
    <mergeCell ref="I255:L255"/>
    <mergeCell ref="H210:L210"/>
    <mergeCell ref="O279:O283"/>
    <mergeCell ref="O254:O257"/>
    <mergeCell ref="N197:N198"/>
    <mergeCell ref="M255:M256"/>
    <mergeCell ref="M247:M248"/>
    <mergeCell ref="B336:B338"/>
    <mergeCell ref="H222:L222"/>
    <mergeCell ref="H246:L246"/>
    <mergeCell ref="E304:E305"/>
    <mergeCell ref="A300:O300"/>
    <mergeCell ref="N366:N367"/>
    <mergeCell ref="H347:L347"/>
    <mergeCell ref="D366:D368"/>
    <mergeCell ref="M360:M361"/>
    <mergeCell ref="M378:M379"/>
    <mergeCell ref="I366:L366"/>
    <mergeCell ref="O369:O372"/>
    <mergeCell ref="G276:G277"/>
    <mergeCell ref="E378:E379"/>
    <mergeCell ref="F378:F379"/>
    <mergeCell ref="G378:G379"/>
    <mergeCell ref="I197:L197"/>
    <mergeCell ref="M340:M341"/>
    <mergeCell ref="H264:L264"/>
    <mergeCell ref="H275:L275"/>
    <mergeCell ref="D276:D278"/>
    <mergeCell ref="E276:E277"/>
    <mergeCell ref="H359:L359"/>
    <mergeCell ref="N360:N361"/>
    <mergeCell ref="C360:C362"/>
    <mergeCell ref="O365:O368"/>
    <mergeCell ref="H351:L351"/>
    <mergeCell ref="H371:L371"/>
    <mergeCell ref="H474:L474"/>
    <mergeCell ref="I429:L429"/>
    <mergeCell ref="I438:L438"/>
    <mergeCell ref="I444:L444"/>
    <mergeCell ref="I471:L471"/>
    <mergeCell ref="I456:L456"/>
    <mergeCell ref="H461:L461"/>
    <mergeCell ref="H460:L460"/>
    <mergeCell ref="H459:L459"/>
    <mergeCell ref="H381:L381"/>
    <mergeCell ref="H469:L469"/>
    <mergeCell ref="H427:L427"/>
    <mergeCell ref="H388:L388"/>
    <mergeCell ref="H466:L466"/>
    <mergeCell ref="H465:L465"/>
    <mergeCell ref="H425:L425"/>
    <mergeCell ref="H424:L424"/>
    <mergeCell ref="H423:L423"/>
    <mergeCell ref="H414:L414"/>
    <mergeCell ref="H413:L413"/>
    <mergeCell ref="H444:H445"/>
    <mergeCell ref="H470:L470"/>
    <mergeCell ref="H453:L453"/>
    <mergeCell ref="H454:L454"/>
    <mergeCell ref="H455:L455"/>
    <mergeCell ref="I462:L462"/>
    <mergeCell ref="H416:L416"/>
    <mergeCell ref="H415:L415"/>
    <mergeCell ref="H426:L426"/>
    <mergeCell ref="I407:L407"/>
    <mergeCell ref="H389:L389"/>
    <mergeCell ref="H435:L435"/>
    <mergeCell ref="H204:H205"/>
    <mergeCell ref="H223:L223"/>
    <mergeCell ref="H224:L224"/>
    <mergeCell ref="I240:L240"/>
    <mergeCell ref="H230:L230"/>
    <mergeCell ref="H228:L228"/>
    <mergeCell ref="H217:L217"/>
    <mergeCell ref="H216:L216"/>
    <mergeCell ref="H312:H313"/>
    <mergeCell ref="H276:H277"/>
    <mergeCell ref="I276:L276"/>
    <mergeCell ref="H231:L231"/>
    <mergeCell ref="I234:L234"/>
    <mergeCell ref="A360:A362"/>
    <mergeCell ref="H390:L390"/>
    <mergeCell ref="H394:L394"/>
    <mergeCell ref="H395:L395"/>
    <mergeCell ref="I378:L378"/>
    <mergeCell ref="H209:L209"/>
    <mergeCell ref="H384:L384"/>
    <mergeCell ref="C344:C346"/>
    <mergeCell ref="H358:L358"/>
    <mergeCell ref="H357:L357"/>
    <mergeCell ref="H356:L356"/>
    <mergeCell ref="H355:L355"/>
    <mergeCell ref="H365:L365"/>
    <mergeCell ref="H364:L364"/>
    <mergeCell ref="H363:L363"/>
    <mergeCell ref="I352:L352"/>
    <mergeCell ref="H243:L243"/>
    <mergeCell ref="H370:L370"/>
    <mergeCell ref="H369:L369"/>
    <mergeCell ref="F444:F445"/>
    <mergeCell ref="C468:C470"/>
    <mergeCell ref="B378:B380"/>
    <mergeCell ref="C378:C380"/>
    <mergeCell ref="H434:L434"/>
    <mergeCell ref="H377:L377"/>
    <mergeCell ref="H366:H367"/>
    <mergeCell ref="H376:L376"/>
    <mergeCell ref="A441:A446"/>
    <mergeCell ref="B410:B412"/>
    <mergeCell ref="C387:C389"/>
    <mergeCell ref="B405:B406"/>
    <mergeCell ref="B468:B470"/>
    <mergeCell ref="E456:E457"/>
    <mergeCell ref="D407:D409"/>
    <mergeCell ref="F366:F367"/>
    <mergeCell ref="B373:O373"/>
    <mergeCell ref="G450:G451"/>
    <mergeCell ref="N444:N445"/>
    <mergeCell ref="E366:E367"/>
    <mergeCell ref="H438:H439"/>
    <mergeCell ref="N418:N419"/>
    <mergeCell ref="H402:L402"/>
    <mergeCell ref="O398:O400"/>
    <mergeCell ref="C413:C414"/>
    <mergeCell ref="N407:N408"/>
    <mergeCell ref="G444:G445"/>
    <mergeCell ref="E444:E445"/>
    <mergeCell ref="F429:F430"/>
    <mergeCell ref="N429:N430"/>
    <mergeCell ref="H391:L391"/>
    <mergeCell ref="H392:L392"/>
  </mergeCells>
  <printOptions horizontalCentered="1"/>
  <pageMargins left="0.25" right="0.25" top="0.75" bottom="0.75" header="0.3" footer="0.3"/>
  <pageSetup paperSize="9" scale="45" fitToHeight="0" orientation="landscape" horizontalDpi="300" verticalDpi="300" r:id="rId1"/>
  <headerFooter differentFirst="1">
    <oddHeader>&amp;C&amp;P</oddHeader>
  </headerFooter>
  <rowBreaks count="17" manualBreakCount="17">
    <brk id="34" max="14" man="1"/>
    <brk id="62" max="14" man="1"/>
    <brk id="88" max="14" man="1"/>
    <brk id="115" max="14" man="1"/>
    <brk id="145" max="14" man="1"/>
    <brk id="174" max="14" man="1"/>
    <brk id="206" max="14" man="1"/>
    <brk id="236" max="14" man="1"/>
    <brk id="262" max="14" man="1"/>
    <brk id="288" max="14" man="1"/>
    <brk id="349" max="14" man="1"/>
    <brk id="376" max="14" man="1"/>
    <brk id="404" max="14" man="1"/>
    <brk id="416" max="14" man="1"/>
    <brk id="428" max="14" man="1"/>
    <brk id="446" max="14" man="1"/>
    <brk id="467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332"/>
  <sheetViews>
    <sheetView view="pageBreakPreview" zoomScale="55" zoomScaleNormal="55" zoomScaleSheetLayoutView="55" workbookViewId="0">
      <selection activeCell="C5" sqref="C5:O5"/>
    </sheetView>
  </sheetViews>
  <sheetFormatPr defaultRowHeight="15" x14ac:dyDescent="0.25"/>
  <cols>
    <col min="1" max="1" width="9.140625" style="2"/>
    <col min="2" max="2" width="37" style="2" customWidth="1"/>
    <col min="3" max="3" width="22.42578125" style="2" customWidth="1"/>
    <col min="4" max="4" width="20.85546875" style="2" customWidth="1"/>
    <col min="5" max="5" width="21.7109375" style="2" customWidth="1"/>
    <col min="6" max="6" width="19.42578125" style="2" customWidth="1"/>
    <col min="7" max="7" width="18" style="2" customWidth="1"/>
    <col min="8" max="8" width="24.85546875" style="2" customWidth="1"/>
    <col min="9" max="9" width="20" style="2" customWidth="1"/>
    <col min="10" max="10" width="31.28515625" style="105" customWidth="1"/>
    <col min="11" max="12" width="26.42578125" style="2" customWidth="1"/>
    <col min="13" max="13" width="29.7109375" style="2" customWidth="1"/>
    <col min="14" max="14" width="28.42578125" style="2" customWidth="1"/>
    <col min="15" max="15" width="27.5703125" style="2" customWidth="1"/>
    <col min="16" max="16" width="27.42578125" style="2" customWidth="1"/>
    <col min="17" max="17" width="24.42578125" style="2" customWidth="1"/>
    <col min="18" max="18" width="21.28515625" style="2" customWidth="1"/>
    <col min="19" max="19" width="28.85546875" style="2" customWidth="1"/>
    <col min="20" max="20" width="27.140625" style="2" bestFit="1" customWidth="1"/>
    <col min="21" max="21" width="35.42578125" style="2" bestFit="1" customWidth="1"/>
    <col min="22" max="262" width="9.140625" style="2"/>
    <col min="263" max="263" width="25.28515625" style="2" customWidth="1"/>
    <col min="264" max="265" width="44.7109375" style="2" customWidth="1"/>
    <col min="266" max="266" width="34.5703125" style="2" customWidth="1"/>
    <col min="267" max="267" width="36.7109375" style="2" customWidth="1"/>
    <col min="268" max="268" width="31.85546875" style="2" customWidth="1"/>
    <col min="269" max="518" width="9.140625" style="2"/>
    <col min="519" max="519" width="25.28515625" style="2" customWidth="1"/>
    <col min="520" max="521" width="44.7109375" style="2" customWidth="1"/>
    <col min="522" max="522" width="34.5703125" style="2" customWidth="1"/>
    <col min="523" max="523" width="36.7109375" style="2" customWidth="1"/>
    <col min="524" max="524" width="31.85546875" style="2" customWidth="1"/>
    <col min="525" max="774" width="9.140625" style="2"/>
    <col min="775" max="775" width="25.28515625" style="2" customWidth="1"/>
    <col min="776" max="777" width="44.7109375" style="2" customWidth="1"/>
    <col min="778" max="778" width="34.5703125" style="2" customWidth="1"/>
    <col min="779" max="779" width="36.7109375" style="2" customWidth="1"/>
    <col min="780" max="780" width="31.85546875" style="2" customWidth="1"/>
    <col min="781" max="1030" width="9.140625" style="2"/>
    <col min="1031" max="1031" width="25.28515625" style="2" customWidth="1"/>
    <col min="1032" max="1033" width="44.7109375" style="2" customWidth="1"/>
    <col min="1034" max="1034" width="34.5703125" style="2" customWidth="1"/>
    <col min="1035" max="1035" width="36.7109375" style="2" customWidth="1"/>
    <col min="1036" max="1036" width="31.85546875" style="2" customWidth="1"/>
    <col min="1037" max="1286" width="9.140625" style="2"/>
    <col min="1287" max="1287" width="25.28515625" style="2" customWidth="1"/>
    <col min="1288" max="1289" width="44.7109375" style="2" customWidth="1"/>
    <col min="1290" max="1290" width="34.5703125" style="2" customWidth="1"/>
    <col min="1291" max="1291" width="36.7109375" style="2" customWidth="1"/>
    <col min="1292" max="1292" width="31.85546875" style="2" customWidth="1"/>
    <col min="1293" max="1542" width="9.140625" style="2"/>
    <col min="1543" max="1543" width="25.28515625" style="2" customWidth="1"/>
    <col min="1544" max="1545" width="44.7109375" style="2" customWidth="1"/>
    <col min="1546" max="1546" width="34.5703125" style="2" customWidth="1"/>
    <col min="1547" max="1547" width="36.7109375" style="2" customWidth="1"/>
    <col min="1548" max="1548" width="31.85546875" style="2" customWidth="1"/>
    <col min="1549" max="1798" width="9.140625" style="2"/>
    <col min="1799" max="1799" width="25.28515625" style="2" customWidth="1"/>
    <col min="1800" max="1801" width="44.7109375" style="2" customWidth="1"/>
    <col min="1802" max="1802" width="34.5703125" style="2" customWidth="1"/>
    <col min="1803" max="1803" width="36.7109375" style="2" customWidth="1"/>
    <col min="1804" max="1804" width="31.85546875" style="2" customWidth="1"/>
    <col min="1805" max="2054" width="9.140625" style="2"/>
    <col min="2055" max="2055" width="25.28515625" style="2" customWidth="1"/>
    <col min="2056" max="2057" width="44.7109375" style="2" customWidth="1"/>
    <col min="2058" max="2058" width="34.5703125" style="2" customWidth="1"/>
    <col min="2059" max="2059" width="36.7109375" style="2" customWidth="1"/>
    <col min="2060" max="2060" width="31.85546875" style="2" customWidth="1"/>
    <col min="2061" max="2310" width="9.140625" style="2"/>
    <col min="2311" max="2311" width="25.28515625" style="2" customWidth="1"/>
    <col min="2312" max="2313" width="44.7109375" style="2" customWidth="1"/>
    <col min="2314" max="2314" width="34.5703125" style="2" customWidth="1"/>
    <col min="2315" max="2315" width="36.7109375" style="2" customWidth="1"/>
    <col min="2316" max="2316" width="31.85546875" style="2" customWidth="1"/>
    <col min="2317" max="2566" width="9.140625" style="2"/>
    <col min="2567" max="2567" width="25.28515625" style="2" customWidth="1"/>
    <col min="2568" max="2569" width="44.7109375" style="2" customWidth="1"/>
    <col min="2570" max="2570" width="34.5703125" style="2" customWidth="1"/>
    <col min="2571" max="2571" width="36.7109375" style="2" customWidth="1"/>
    <col min="2572" max="2572" width="31.85546875" style="2" customWidth="1"/>
    <col min="2573" max="2822" width="9.140625" style="2"/>
    <col min="2823" max="2823" width="25.28515625" style="2" customWidth="1"/>
    <col min="2824" max="2825" width="44.7109375" style="2" customWidth="1"/>
    <col min="2826" max="2826" width="34.5703125" style="2" customWidth="1"/>
    <col min="2827" max="2827" width="36.7109375" style="2" customWidth="1"/>
    <col min="2828" max="2828" width="31.85546875" style="2" customWidth="1"/>
    <col min="2829" max="3078" width="9.140625" style="2"/>
    <col min="3079" max="3079" width="25.28515625" style="2" customWidth="1"/>
    <col min="3080" max="3081" width="44.7109375" style="2" customWidth="1"/>
    <col min="3082" max="3082" width="34.5703125" style="2" customWidth="1"/>
    <col min="3083" max="3083" width="36.7109375" style="2" customWidth="1"/>
    <col min="3084" max="3084" width="31.85546875" style="2" customWidth="1"/>
    <col min="3085" max="3334" width="9.140625" style="2"/>
    <col min="3335" max="3335" width="25.28515625" style="2" customWidth="1"/>
    <col min="3336" max="3337" width="44.7109375" style="2" customWidth="1"/>
    <col min="3338" max="3338" width="34.5703125" style="2" customWidth="1"/>
    <col min="3339" max="3339" width="36.7109375" style="2" customWidth="1"/>
    <col min="3340" max="3340" width="31.85546875" style="2" customWidth="1"/>
    <col min="3341" max="3590" width="9.140625" style="2"/>
    <col min="3591" max="3591" width="25.28515625" style="2" customWidth="1"/>
    <col min="3592" max="3593" width="44.7109375" style="2" customWidth="1"/>
    <col min="3594" max="3594" width="34.5703125" style="2" customWidth="1"/>
    <col min="3595" max="3595" width="36.7109375" style="2" customWidth="1"/>
    <col min="3596" max="3596" width="31.85546875" style="2" customWidth="1"/>
    <col min="3597" max="3846" width="9.140625" style="2"/>
    <col min="3847" max="3847" width="25.28515625" style="2" customWidth="1"/>
    <col min="3848" max="3849" width="44.7109375" style="2" customWidth="1"/>
    <col min="3850" max="3850" width="34.5703125" style="2" customWidth="1"/>
    <col min="3851" max="3851" width="36.7109375" style="2" customWidth="1"/>
    <col min="3852" max="3852" width="31.85546875" style="2" customWidth="1"/>
    <col min="3853" max="4102" width="9.140625" style="2"/>
    <col min="4103" max="4103" width="25.28515625" style="2" customWidth="1"/>
    <col min="4104" max="4105" width="44.7109375" style="2" customWidth="1"/>
    <col min="4106" max="4106" width="34.5703125" style="2" customWidth="1"/>
    <col min="4107" max="4107" width="36.7109375" style="2" customWidth="1"/>
    <col min="4108" max="4108" width="31.85546875" style="2" customWidth="1"/>
    <col min="4109" max="4358" width="9.140625" style="2"/>
    <col min="4359" max="4359" width="25.28515625" style="2" customWidth="1"/>
    <col min="4360" max="4361" width="44.7109375" style="2" customWidth="1"/>
    <col min="4362" max="4362" width="34.5703125" style="2" customWidth="1"/>
    <col min="4363" max="4363" width="36.7109375" style="2" customWidth="1"/>
    <col min="4364" max="4364" width="31.85546875" style="2" customWidth="1"/>
    <col min="4365" max="4614" width="9.140625" style="2"/>
    <col min="4615" max="4615" width="25.28515625" style="2" customWidth="1"/>
    <col min="4616" max="4617" width="44.7109375" style="2" customWidth="1"/>
    <col min="4618" max="4618" width="34.5703125" style="2" customWidth="1"/>
    <col min="4619" max="4619" width="36.7109375" style="2" customWidth="1"/>
    <col min="4620" max="4620" width="31.85546875" style="2" customWidth="1"/>
    <col min="4621" max="4870" width="9.140625" style="2"/>
    <col min="4871" max="4871" width="25.28515625" style="2" customWidth="1"/>
    <col min="4872" max="4873" width="44.7109375" style="2" customWidth="1"/>
    <col min="4874" max="4874" width="34.5703125" style="2" customWidth="1"/>
    <col min="4875" max="4875" width="36.7109375" style="2" customWidth="1"/>
    <col min="4876" max="4876" width="31.85546875" style="2" customWidth="1"/>
    <col min="4877" max="5126" width="9.140625" style="2"/>
    <col min="5127" max="5127" width="25.28515625" style="2" customWidth="1"/>
    <col min="5128" max="5129" width="44.7109375" style="2" customWidth="1"/>
    <col min="5130" max="5130" width="34.5703125" style="2" customWidth="1"/>
    <col min="5131" max="5131" width="36.7109375" style="2" customWidth="1"/>
    <col min="5132" max="5132" width="31.85546875" style="2" customWidth="1"/>
    <col min="5133" max="5382" width="9.140625" style="2"/>
    <col min="5383" max="5383" width="25.28515625" style="2" customWidth="1"/>
    <col min="5384" max="5385" width="44.7109375" style="2" customWidth="1"/>
    <col min="5386" max="5386" width="34.5703125" style="2" customWidth="1"/>
    <col min="5387" max="5387" width="36.7109375" style="2" customWidth="1"/>
    <col min="5388" max="5388" width="31.85546875" style="2" customWidth="1"/>
    <col min="5389" max="5638" width="9.140625" style="2"/>
    <col min="5639" max="5639" width="25.28515625" style="2" customWidth="1"/>
    <col min="5640" max="5641" width="44.7109375" style="2" customWidth="1"/>
    <col min="5642" max="5642" width="34.5703125" style="2" customWidth="1"/>
    <col min="5643" max="5643" width="36.7109375" style="2" customWidth="1"/>
    <col min="5644" max="5644" width="31.85546875" style="2" customWidth="1"/>
    <col min="5645" max="5894" width="9.140625" style="2"/>
    <col min="5895" max="5895" width="25.28515625" style="2" customWidth="1"/>
    <col min="5896" max="5897" width="44.7109375" style="2" customWidth="1"/>
    <col min="5898" max="5898" width="34.5703125" style="2" customWidth="1"/>
    <col min="5899" max="5899" width="36.7109375" style="2" customWidth="1"/>
    <col min="5900" max="5900" width="31.85546875" style="2" customWidth="1"/>
    <col min="5901" max="6150" width="9.140625" style="2"/>
    <col min="6151" max="6151" width="25.28515625" style="2" customWidth="1"/>
    <col min="6152" max="6153" width="44.7109375" style="2" customWidth="1"/>
    <col min="6154" max="6154" width="34.5703125" style="2" customWidth="1"/>
    <col min="6155" max="6155" width="36.7109375" style="2" customWidth="1"/>
    <col min="6156" max="6156" width="31.85546875" style="2" customWidth="1"/>
    <col min="6157" max="6406" width="9.140625" style="2"/>
    <col min="6407" max="6407" width="25.28515625" style="2" customWidth="1"/>
    <col min="6408" max="6409" width="44.7109375" style="2" customWidth="1"/>
    <col min="6410" max="6410" width="34.5703125" style="2" customWidth="1"/>
    <col min="6411" max="6411" width="36.7109375" style="2" customWidth="1"/>
    <col min="6412" max="6412" width="31.85546875" style="2" customWidth="1"/>
    <col min="6413" max="6662" width="9.140625" style="2"/>
    <col min="6663" max="6663" width="25.28515625" style="2" customWidth="1"/>
    <col min="6664" max="6665" width="44.7109375" style="2" customWidth="1"/>
    <col min="6666" max="6666" width="34.5703125" style="2" customWidth="1"/>
    <col min="6667" max="6667" width="36.7109375" style="2" customWidth="1"/>
    <col min="6668" max="6668" width="31.85546875" style="2" customWidth="1"/>
    <col min="6669" max="6918" width="9.140625" style="2"/>
    <col min="6919" max="6919" width="25.28515625" style="2" customWidth="1"/>
    <col min="6920" max="6921" width="44.7109375" style="2" customWidth="1"/>
    <col min="6922" max="6922" width="34.5703125" style="2" customWidth="1"/>
    <col min="6923" max="6923" width="36.7109375" style="2" customWidth="1"/>
    <col min="6924" max="6924" width="31.85546875" style="2" customWidth="1"/>
    <col min="6925" max="7174" width="9.140625" style="2"/>
    <col min="7175" max="7175" width="25.28515625" style="2" customWidth="1"/>
    <col min="7176" max="7177" width="44.7109375" style="2" customWidth="1"/>
    <col min="7178" max="7178" width="34.5703125" style="2" customWidth="1"/>
    <col min="7179" max="7179" width="36.7109375" style="2" customWidth="1"/>
    <col min="7180" max="7180" width="31.85546875" style="2" customWidth="1"/>
    <col min="7181" max="7430" width="9.140625" style="2"/>
    <col min="7431" max="7431" width="25.28515625" style="2" customWidth="1"/>
    <col min="7432" max="7433" width="44.7109375" style="2" customWidth="1"/>
    <col min="7434" max="7434" width="34.5703125" style="2" customWidth="1"/>
    <col min="7435" max="7435" width="36.7109375" style="2" customWidth="1"/>
    <col min="7436" max="7436" width="31.85546875" style="2" customWidth="1"/>
    <col min="7437" max="7686" width="9.140625" style="2"/>
    <col min="7687" max="7687" width="25.28515625" style="2" customWidth="1"/>
    <col min="7688" max="7689" width="44.7109375" style="2" customWidth="1"/>
    <col min="7690" max="7690" width="34.5703125" style="2" customWidth="1"/>
    <col min="7691" max="7691" width="36.7109375" style="2" customWidth="1"/>
    <col min="7692" max="7692" width="31.85546875" style="2" customWidth="1"/>
    <col min="7693" max="7942" width="9.140625" style="2"/>
    <col min="7943" max="7943" width="25.28515625" style="2" customWidth="1"/>
    <col min="7944" max="7945" width="44.7109375" style="2" customWidth="1"/>
    <col min="7946" max="7946" width="34.5703125" style="2" customWidth="1"/>
    <col min="7947" max="7947" width="36.7109375" style="2" customWidth="1"/>
    <col min="7948" max="7948" width="31.85546875" style="2" customWidth="1"/>
    <col min="7949" max="8198" width="9.140625" style="2"/>
    <col min="8199" max="8199" width="25.28515625" style="2" customWidth="1"/>
    <col min="8200" max="8201" width="44.7109375" style="2" customWidth="1"/>
    <col min="8202" max="8202" width="34.5703125" style="2" customWidth="1"/>
    <col min="8203" max="8203" width="36.7109375" style="2" customWidth="1"/>
    <col min="8204" max="8204" width="31.85546875" style="2" customWidth="1"/>
    <col min="8205" max="8454" width="9.140625" style="2"/>
    <col min="8455" max="8455" width="25.28515625" style="2" customWidth="1"/>
    <col min="8456" max="8457" width="44.7109375" style="2" customWidth="1"/>
    <col min="8458" max="8458" width="34.5703125" style="2" customWidth="1"/>
    <col min="8459" max="8459" width="36.7109375" style="2" customWidth="1"/>
    <col min="8460" max="8460" width="31.85546875" style="2" customWidth="1"/>
    <col min="8461" max="8710" width="9.140625" style="2"/>
    <col min="8711" max="8711" width="25.28515625" style="2" customWidth="1"/>
    <col min="8712" max="8713" width="44.7109375" style="2" customWidth="1"/>
    <col min="8714" max="8714" width="34.5703125" style="2" customWidth="1"/>
    <col min="8715" max="8715" width="36.7109375" style="2" customWidth="1"/>
    <col min="8716" max="8716" width="31.85546875" style="2" customWidth="1"/>
    <col min="8717" max="8966" width="9.140625" style="2"/>
    <col min="8967" max="8967" width="25.28515625" style="2" customWidth="1"/>
    <col min="8968" max="8969" width="44.7109375" style="2" customWidth="1"/>
    <col min="8970" max="8970" width="34.5703125" style="2" customWidth="1"/>
    <col min="8971" max="8971" width="36.7109375" style="2" customWidth="1"/>
    <col min="8972" max="8972" width="31.85546875" style="2" customWidth="1"/>
    <col min="8973" max="9222" width="9.140625" style="2"/>
    <col min="9223" max="9223" width="25.28515625" style="2" customWidth="1"/>
    <col min="9224" max="9225" width="44.7109375" style="2" customWidth="1"/>
    <col min="9226" max="9226" width="34.5703125" style="2" customWidth="1"/>
    <col min="9227" max="9227" width="36.7109375" style="2" customWidth="1"/>
    <col min="9228" max="9228" width="31.85546875" style="2" customWidth="1"/>
    <col min="9229" max="9478" width="9.140625" style="2"/>
    <col min="9479" max="9479" width="25.28515625" style="2" customWidth="1"/>
    <col min="9480" max="9481" width="44.7109375" style="2" customWidth="1"/>
    <col min="9482" max="9482" width="34.5703125" style="2" customWidth="1"/>
    <col min="9483" max="9483" width="36.7109375" style="2" customWidth="1"/>
    <col min="9484" max="9484" width="31.85546875" style="2" customWidth="1"/>
    <col min="9485" max="9734" width="9.140625" style="2"/>
    <col min="9735" max="9735" width="25.28515625" style="2" customWidth="1"/>
    <col min="9736" max="9737" width="44.7109375" style="2" customWidth="1"/>
    <col min="9738" max="9738" width="34.5703125" style="2" customWidth="1"/>
    <col min="9739" max="9739" width="36.7109375" style="2" customWidth="1"/>
    <col min="9740" max="9740" width="31.85546875" style="2" customWidth="1"/>
    <col min="9741" max="9990" width="9.140625" style="2"/>
    <col min="9991" max="9991" width="25.28515625" style="2" customWidth="1"/>
    <col min="9992" max="9993" width="44.7109375" style="2" customWidth="1"/>
    <col min="9994" max="9994" width="34.5703125" style="2" customWidth="1"/>
    <col min="9995" max="9995" width="36.7109375" style="2" customWidth="1"/>
    <col min="9996" max="9996" width="31.85546875" style="2" customWidth="1"/>
    <col min="9997" max="10246" width="9.140625" style="2"/>
    <col min="10247" max="10247" width="25.28515625" style="2" customWidth="1"/>
    <col min="10248" max="10249" width="44.7109375" style="2" customWidth="1"/>
    <col min="10250" max="10250" width="34.5703125" style="2" customWidth="1"/>
    <col min="10251" max="10251" width="36.7109375" style="2" customWidth="1"/>
    <col min="10252" max="10252" width="31.85546875" style="2" customWidth="1"/>
    <col min="10253" max="10502" width="9.140625" style="2"/>
    <col min="10503" max="10503" width="25.28515625" style="2" customWidth="1"/>
    <col min="10504" max="10505" width="44.7109375" style="2" customWidth="1"/>
    <col min="10506" max="10506" width="34.5703125" style="2" customWidth="1"/>
    <col min="10507" max="10507" width="36.7109375" style="2" customWidth="1"/>
    <col min="10508" max="10508" width="31.85546875" style="2" customWidth="1"/>
    <col min="10509" max="10758" width="9.140625" style="2"/>
    <col min="10759" max="10759" width="25.28515625" style="2" customWidth="1"/>
    <col min="10760" max="10761" width="44.7109375" style="2" customWidth="1"/>
    <col min="10762" max="10762" width="34.5703125" style="2" customWidth="1"/>
    <col min="10763" max="10763" width="36.7109375" style="2" customWidth="1"/>
    <col min="10764" max="10764" width="31.85546875" style="2" customWidth="1"/>
    <col min="10765" max="11014" width="9.140625" style="2"/>
    <col min="11015" max="11015" width="25.28515625" style="2" customWidth="1"/>
    <col min="11016" max="11017" width="44.7109375" style="2" customWidth="1"/>
    <col min="11018" max="11018" width="34.5703125" style="2" customWidth="1"/>
    <col min="11019" max="11019" width="36.7109375" style="2" customWidth="1"/>
    <col min="11020" max="11020" width="31.85546875" style="2" customWidth="1"/>
    <col min="11021" max="11270" width="9.140625" style="2"/>
    <col min="11271" max="11271" width="25.28515625" style="2" customWidth="1"/>
    <col min="11272" max="11273" width="44.7109375" style="2" customWidth="1"/>
    <col min="11274" max="11274" width="34.5703125" style="2" customWidth="1"/>
    <col min="11275" max="11275" width="36.7109375" style="2" customWidth="1"/>
    <col min="11276" max="11276" width="31.85546875" style="2" customWidth="1"/>
    <col min="11277" max="11526" width="9.140625" style="2"/>
    <col min="11527" max="11527" width="25.28515625" style="2" customWidth="1"/>
    <col min="11528" max="11529" width="44.7109375" style="2" customWidth="1"/>
    <col min="11530" max="11530" width="34.5703125" style="2" customWidth="1"/>
    <col min="11531" max="11531" width="36.7109375" style="2" customWidth="1"/>
    <col min="11532" max="11532" width="31.85546875" style="2" customWidth="1"/>
    <col min="11533" max="11782" width="9.140625" style="2"/>
    <col min="11783" max="11783" width="25.28515625" style="2" customWidth="1"/>
    <col min="11784" max="11785" width="44.7109375" style="2" customWidth="1"/>
    <col min="11786" max="11786" width="34.5703125" style="2" customWidth="1"/>
    <col min="11787" max="11787" width="36.7109375" style="2" customWidth="1"/>
    <col min="11788" max="11788" width="31.85546875" style="2" customWidth="1"/>
    <col min="11789" max="12038" width="9.140625" style="2"/>
    <col min="12039" max="12039" width="25.28515625" style="2" customWidth="1"/>
    <col min="12040" max="12041" width="44.7109375" style="2" customWidth="1"/>
    <col min="12042" max="12042" width="34.5703125" style="2" customWidth="1"/>
    <col min="12043" max="12043" width="36.7109375" style="2" customWidth="1"/>
    <col min="12044" max="12044" width="31.85546875" style="2" customWidth="1"/>
    <col min="12045" max="12294" width="9.140625" style="2"/>
    <col min="12295" max="12295" width="25.28515625" style="2" customWidth="1"/>
    <col min="12296" max="12297" width="44.7109375" style="2" customWidth="1"/>
    <col min="12298" max="12298" width="34.5703125" style="2" customWidth="1"/>
    <col min="12299" max="12299" width="36.7109375" style="2" customWidth="1"/>
    <col min="12300" max="12300" width="31.85546875" style="2" customWidth="1"/>
    <col min="12301" max="12550" width="9.140625" style="2"/>
    <col min="12551" max="12551" width="25.28515625" style="2" customWidth="1"/>
    <col min="12552" max="12553" width="44.7109375" style="2" customWidth="1"/>
    <col min="12554" max="12554" width="34.5703125" style="2" customWidth="1"/>
    <col min="12555" max="12555" width="36.7109375" style="2" customWidth="1"/>
    <col min="12556" max="12556" width="31.85546875" style="2" customWidth="1"/>
    <col min="12557" max="12806" width="9.140625" style="2"/>
    <col min="12807" max="12807" width="25.28515625" style="2" customWidth="1"/>
    <col min="12808" max="12809" width="44.7109375" style="2" customWidth="1"/>
    <col min="12810" max="12810" width="34.5703125" style="2" customWidth="1"/>
    <col min="12811" max="12811" width="36.7109375" style="2" customWidth="1"/>
    <col min="12812" max="12812" width="31.85546875" style="2" customWidth="1"/>
    <col min="12813" max="13062" width="9.140625" style="2"/>
    <col min="13063" max="13063" width="25.28515625" style="2" customWidth="1"/>
    <col min="13064" max="13065" width="44.7109375" style="2" customWidth="1"/>
    <col min="13066" max="13066" width="34.5703125" style="2" customWidth="1"/>
    <col min="13067" max="13067" width="36.7109375" style="2" customWidth="1"/>
    <col min="13068" max="13068" width="31.85546875" style="2" customWidth="1"/>
    <col min="13069" max="13318" width="9.140625" style="2"/>
    <col min="13319" max="13319" width="25.28515625" style="2" customWidth="1"/>
    <col min="13320" max="13321" width="44.7109375" style="2" customWidth="1"/>
    <col min="13322" max="13322" width="34.5703125" style="2" customWidth="1"/>
    <col min="13323" max="13323" width="36.7109375" style="2" customWidth="1"/>
    <col min="13324" max="13324" width="31.85546875" style="2" customWidth="1"/>
    <col min="13325" max="13574" width="9.140625" style="2"/>
    <col min="13575" max="13575" width="25.28515625" style="2" customWidth="1"/>
    <col min="13576" max="13577" width="44.7109375" style="2" customWidth="1"/>
    <col min="13578" max="13578" width="34.5703125" style="2" customWidth="1"/>
    <col min="13579" max="13579" width="36.7109375" style="2" customWidth="1"/>
    <col min="13580" max="13580" width="31.85546875" style="2" customWidth="1"/>
    <col min="13581" max="13830" width="9.140625" style="2"/>
    <col min="13831" max="13831" width="25.28515625" style="2" customWidth="1"/>
    <col min="13832" max="13833" width="44.7109375" style="2" customWidth="1"/>
    <col min="13834" max="13834" width="34.5703125" style="2" customWidth="1"/>
    <col min="13835" max="13835" width="36.7109375" style="2" customWidth="1"/>
    <col min="13836" max="13836" width="31.85546875" style="2" customWidth="1"/>
    <col min="13837" max="14086" width="9.140625" style="2"/>
    <col min="14087" max="14087" width="25.28515625" style="2" customWidth="1"/>
    <col min="14088" max="14089" width="44.7109375" style="2" customWidth="1"/>
    <col min="14090" max="14090" width="34.5703125" style="2" customWidth="1"/>
    <col min="14091" max="14091" width="36.7109375" style="2" customWidth="1"/>
    <col min="14092" max="14092" width="31.85546875" style="2" customWidth="1"/>
    <col min="14093" max="14342" width="9.140625" style="2"/>
    <col min="14343" max="14343" width="25.28515625" style="2" customWidth="1"/>
    <col min="14344" max="14345" width="44.7109375" style="2" customWidth="1"/>
    <col min="14346" max="14346" width="34.5703125" style="2" customWidth="1"/>
    <col min="14347" max="14347" width="36.7109375" style="2" customWidth="1"/>
    <col min="14348" max="14348" width="31.85546875" style="2" customWidth="1"/>
    <col min="14349" max="14598" width="9.140625" style="2"/>
    <col min="14599" max="14599" width="25.28515625" style="2" customWidth="1"/>
    <col min="14600" max="14601" width="44.7109375" style="2" customWidth="1"/>
    <col min="14602" max="14602" width="34.5703125" style="2" customWidth="1"/>
    <col min="14603" max="14603" width="36.7109375" style="2" customWidth="1"/>
    <col min="14604" max="14604" width="31.85546875" style="2" customWidth="1"/>
    <col min="14605" max="14854" width="9.140625" style="2"/>
    <col min="14855" max="14855" width="25.28515625" style="2" customWidth="1"/>
    <col min="14856" max="14857" width="44.7109375" style="2" customWidth="1"/>
    <col min="14858" max="14858" width="34.5703125" style="2" customWidth="1"/>
    <col min="14859" max="14859" width="36.7109375" style="2" customWidth="1"/>
    <col min="14860" max="14860" width="31.85546875" style="2" customWidth="1"/>
    <col min="14861" max="15110" width="9.140625" style="2"/>
    <col min="15111" max="15111" width="25.28515625" style="2" customWidth="1"/>
    <col min="15112" max="15113" width="44.7109375" style="2" customWidth="1"/>
    <col min="15114" max="15114" width="34.5703125" style="2" customWidth="1"/>
    <col min="15115" max="15115" width="36.7109375" style="2" customWidth="1"/>
    <col min="15116" max="15116" width="31.85546875" style="2" customWidth="1"/>
    <col min="15117" max="15366" width="9.140625" style="2"/>
    <col min="15367" max="15367" width="25.28515625" style="2" customWidth="1"/>
    <col min="15368" max="15369" width="44.7109375" style="2" customWidth="1"/>
    <col min="15370" max="15370" width="34.5703125" style="2" customWidth="1"/>
    <col min="15371" max="15371" width="36.7109375" style="2" customWidth="1"/>
    <col min="15372" max="15372" width="31.85546875" style="2" customWidth="1"/>
    <col min="15373" max="15622" width="9.140625" style="2"/>
    <col min="15623" max="15623" width="25.28515625" style="2" customWidth="1"/>
    <col min="15624" max="15625" width="44.7109375" style="2" customWidth="1"/>
    <col min="15626" max="15626" width="34.5703125" style="2" customWidth="1"/>
    <col min="15627" max="15627" width="36.7109375" style="2" customWidth="1"/>
    <col min="15628" max="15628" width="31.85546875" style="2" customWidth="1"/>
    <col min="15629" max="15878" width="9.140625" style="2"/>
    <col min="15879" max="15879" width="25.28515625" style="2" customWidth="1"/>
    <col min="15880" max="15881" width="44.7109375" style="2" customWidth="1"/>
    <col min="15882" max="15882" width="34.5703125" style="2" customWidth="1"/>
    <col min="15883" max="15883" width="36.7109375" style="2" customWidth="1"/>
    <col min="15884" max="15884" width="31.85546875" style="2" customWidth="1"/>
    <col min="15885" max="16134" width="9.140625" style="2"/>
    <col min="16135" max="16135" width="25.28515625" style="2" customWidth="1"/>
    <col min="16136" max="16137" width="44.7109375" style="2" customWidth="1"/>
    <col min="16138" max="16138" width="34.5703125" style="2" customWidth="1"/>
    <col min="16139" max="16139" width="36.7109375" style="2" customWidth="1"/>
    <col min="16140" max="16140" width="31.85546875" style="2" customWidth="1"/>
    <col min="16141" max="16384" width="9.140625" style="2"/>
  </cols>
  <sheetData>
    <row r="1" spans="1:18" ht="46.5" customHeight="1" x14ac:dyDescent="0.3">
      <c r="J1" s="66"/>
      <c r="P1" s="257" t="s">
        <v>534</v>
      </c>
      <c r="Q1" s="257"/>
      <c r="R1" s="257"/>
    </row>
    <row r="2" spans="1:18" ht="87.75" customHeight="1" x14ac:dyDescent="0.3">
      <c r="I2" s="67"/>
      <c r="J2" s="67" t="s">
        <v>611</v>
      </c>
      <c r="P2" s="258" t="s">
        <v>553</v>
      </c>
      <c r="Q2" s="258"/>
      <c r="R2" s="258"/>
    </row>
    <row r="3" spans="1:18" ht="34.5" customHeight="1" x14ac:dyDescent="0.3">
      <c r="B3" s="68"/>
      <c r="C3" s="68"/>
      <c r="D3" s="68"/>
      <c r="E3" s="68"/>
      <c r="F3" s="68"/>
      <c r="G3" s="68"/>
      <c r="H3" s="68"/>
      <c r="I3" s="69"/>
      <c r="J3" s="70"/>
      <c r="K3" s="3"/>
      <c r="L3" s="71"/>
      <c r="M3" s="3"/>
      <c r="N3" s="3"/>
      <c r="O3" s="3"/>
      <c r="P3" s="72"/>
      <c r="Q3" s="73"/>
      <c r="R3" s="72" t="s">
        <v>252</v>
      </c>
    </row>
    <row r="4" spans="1:18" ht="19.5" x14ac:dyDescent="0.3">
      <c r="B4" s="68"/>
      <c r="C4" s="68"/>
      <c r="D4" s="68"/>
      <c r="E4" s="68"/>
      <c r="F4" s="68"/>
      <c r="G4" s="68"/>
      <c r="H4" s="68"/>
      <c r="I4" s="3"/>
      <c r="J4" s="74"/>
      <c r="K4" s="3"/>
      <c r="L4" s="71"/>
      <c r="M4" s="3"/>
      <c r="N4" s="3"/>
      <c r="O4" s="3"/>
      <c r="P4" s="249" t="s">
        <v>162</v>
      </c>
      <c r="Q4" s="249"/>
      <c r="R4" s="249"/>
    </row>
    <row r="5" spans="1:18" ht="111" customHeight="1" x14ac:dyDescent="0.25">
      <c r="A5" s="75"/>
      <c r="B5" s="75"/>
      <c r="C5" s="250" t="s">
        <v>163</v>
      </c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75"/>
      <c r="Q5" s="75"/>
      <c r="R5" s="75"/>
    </row>
    <row r="6" spans="1:18" x14ac:dyDescent="0.25">
      <c r="A6" s="9"/>
      <c r="B6" s="76"/>
      <c r="C6" s="76"/>
      <c r="D6" s="76"/>
      <c r="E6" s="76"/>
      <c r="F6" s="76"/>
      <c r="G6" s="76"/>
      <c r="H6" s="76"/>
      <c r="I6" s="77"/>
      <c r="J6" s="78"/>
      <c r="K6" s="77"/>
      <c r="L6" s="77"/>
    </row>
    <row r="7" spans="1:18" ht="42" customHeight="1" x14ac:dyDescent="0.25">
      <c r="A7" s="251" t="s">
        <v>164</v>
      </c>
      <c r="B7" s="251" t="s">
        <v>165</v>
      </c>
      <c r="C7" s="251" t="s">
        <v>166</v>
      </c>
      <c r="D7" s="251" t="s">
        <v>167</v>
      </c>
      <c r="E7" s="251" t="s">
        <v>168</v>
      </c>
      <c r="F7" s="251" t="s">
        <v>169</v>
      </c>
      <c r="G7" s="251" t="s">
        <v>170</v>
      </c>
      <c r="H7" s="251" t="s">
        <v>171</v>
      </c>
      <c r="I7" s="251" t="s">
        <v>172</v>
      </c>
      <c r="J7" s="251" t="s">
        <v>2</v>
      </c>
      <c r="K7" s="253" t="s">
        <v>173</v>
      </c>
      <c r="L7" s="254"/>
      <c r="M7" s="254"/>
      <c r="N7" s="254"/>
      <c r="O7" s="254"/>
      <c r="P7" s="255"/>
      <c r="Q7" s="251" t="s">
        <v>174</v>
      </c>
      <c r="R7" s="251" t="s">
        <v>175</v>
      </c>
    </row>
    <row r="8" spans="1:18" ht="156.75" customHeight="1" x14ac:dyDescent="0.25">
      <c r="A8" s="252"/>
      <c r="B8" s="252"/>
      <c r="C8" s="252"/>
      <c r="D8" s="252"/>
      <c r="E8" s="252"/>
      <c r="F8" s="252"/>
      <c r="G8" s="252"/>
      <c r="H8" s="252"/>
      <c r="I8" s="252"/>
      <c r="J8" s="252"/>
      <c r="K8" s="79" t="s">
        <v>176</v>
      </c>
      <c r="L8" s="28">
        <v>2023</v>
      </c>
      <c r="M8" s="28">
        <v>2024</v>
      </c>
      <c r="N8" s="28">
        <v>2025</v>
      </c>
      <c r="O8" s="28">
        <v>2026</v>
      </c>
      <c r="P8" s="28">
        <v>2027</v>
      </c>
      <c r="Q8" s="252"/>
      <c r="R8" s="256"/>
    </row>
    <row r="9" spans="1:18" ht="23.25" customHeight="1" x14ac:dyDescent="0.25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>
        <v>7</v>
      </c>
      <c r="H9" s="4">
        <v>8</v>
      </c>
      <c r="I9" s="4">
        <v>9</v>
      </c>
      <c r="J9" s="4">
        <v>10</v>
      </c>
      <c r="K9" s="4">
        <v>11</v>
      </c>
      <c r="L9" s="4">
        <v>12</v>
      </c>
      <c r="M9" s="4">
        <v>13</v>
      </c>
      <c r="N9" s="4">
        <v>14</v>
      </c>
      <c r="O9" s="4">
        <v>15</v>
      </c>
      <c r="P9" s="4">
        <v>16</v>
      </c>
      <c r="Q9" s="4">
        <v>17</v>
      </c>
      <c r="R9" s="4">
        <v>18</v>
      </c>
    </row>
    <row r="10" spans="1:18" ht="23.25" customHeight="1" x14ac:dyDescent="0.3">
      <c r="A10" s="237" t="s">
        <v>131</v>
      </c>
      <c r="B10" s="238"/>
      <c r="C10" s="238"/>
      <c r="D10" s="238"/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9"/>
    </row>
    <row r="11" spans="1:18" ht="24.75" customHeight="1" x14ac:dyDescent="0.3">
      <c r="A11" s="237" t="s">
        <v>69</v>
      </c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238"/>
      <c r="N11" s="238"/>
      <c r="O11" s="238"/>
      <c r="P11" s="238"/>
      <c r="Q11" s="238"/>
      <c r="R11" s="239"/>
    </row>
    <row r="12" spans="1:18" ht="25.5" customHeight="1" x14ac:dyDescent="0.25">
      <c r="A12" s="232">
        <v>1</v>
      </c>
      <c r="B12" s="224" t="s">
        <v>59</v>
      </c>
      <c r="C12" s="224" t="s">
        <v>284</v>
      </c>
      <c r="D12" s="215" t="s">
        <v>194</v>
      </c>
      <c r="E12" s="215" t="s">
        <v>209</v>
      </c>
      <c r="F12" s="215" t="s">
        <v>286</v>
      </c>
      <c r="G12" s="218">
        <v>45991</v>
      </c>
      <c r="H12" s="233">
        <f>K12+I12+289.75</f>
        <v>141045.97949999999</v>
      </c>
      <c r="I12" s="1">
        <v>8473.1494999999995</v>
      </c>
      <c r="J12" s="4" t="s">
        <v>14</v>
      </c>
      <c r="K12" s="1">
        <f>L12+M12+N12+O12+P12</f>
        <v>132283.07999999999</v>
      </c>
      <c r="L12" s="1">
        <f>L13+L14</f>
        <v>960.78</v>
      </c>
      <c r="M12" s="1">
        <f t="shared" ref="M12:P12" si="0">M13+M14</f>
        <v>43437.279999999999</v>
      </c>
      <c r="N12" s="1">
        <f t="shared" si="0"/>
        <v>87885.01999999999</v>
      </c>
      <c r="O12" s="1">
        <f t="shared" si="0"/>
        <v>0</v>
      </c>
      <c r="P12" s="1">
        <f t="shared" si="0"/>
        <v>0</v>
      </c>
      <c r="Q12" s="6">
        <v>0</v>
      </c>
      <c r="R12" s="224" t="s">
        <v>180</v>
      </c>
    </row>
    <row r="13" spans="1:18" ht="42.75" customHeight="1" x14ac:dyDescent="0.25">
      <c r="A13" s="232"/>
      <c r="B13" s="224"/>
      <c r="C13" s="224"/>
      <c r="D13" s="216"/>
      <c r="E13" s="216"/>
      <c r="F13" s="216"/>
      <c r="G13" s="216"/>
      <c r="H13" s="233"/>
      <c r="I13" s="29">
        <v>5295.7184399999996</v>
      </c>
      <c r="J13" s="28" t="s">
        <v>196</v>
      </c>
      <c r="K13" s="1">
        <f>L13+M13+N13+O13+P13</f>
        <v>77275.34</v>
      </c>
      <c r="L13" s="1">
        <v>600.49</v>
      </c>
      <c r="M13" s="1">
        <v>25350</v>
      </c>
      <c r="N13" s="5">
        <v>51324.85</v>
      </c>
      <c r="O13" s="5">
        <v>0</v>
      </c>
      <c r="P13" s="5">
        <v>0</v>
      </c>
      <c r="Q13" s="6">
        <v>0</v>
      </c>
      <c r="R13" s="224"/>
    </row>
    <row r="14" spans="1:18" ht="69" customHeight="1" x14ac:dyDescent="0.25">
      <c r="A14" s="232"/>
      <c r="B14" s="224"/>
      <c r="C14" s="224"/>
      <c r="D14" s="217"/>
      <c r="E14" s="217"/>
      <c r="F14" s="217"/>
      <c r="G14" s="217"/>
      <c r="H14" s="233"/>
      <c r="I14" s="29">
        <v>3177.4310599999999</v>
      </c>
      <c r="J14" s="28" t="s">
        <v>18</v>
      </c>
      <c r="K14" s="1">
        <f t="shared" ref="K14:K32" si="1">L14+M14+N14+O14+P14</f>
        <v>55007.74</v>
      </c>
      <c r="L14" s="1">
        <v>360.29</v>
      </c>
      <c r="M14" s="1">
        <f>18087.28</f>
        <v>18087.28</v>
      </c>
      <c r="N14" s="5">
        <v>36560.17</v>
      </c>
      <c r="O14" s="5">
        <v>0</v>
      </c>
      <c r="P14" s="5">
        <v>0</v>
      </c>
      <c r="Q14" s="6">
        <v>0</v>
      </c>
      <c r="R14" s="224"/>
    </row>
    <row r="15" spans="1:18" ht="54" customHeight="1" x14ac:dyDescent="0.25">
      <c r="A15" s="232">
        <v>2</v>
      </c>
      <c r="B15" s="224" t="s">
        <v>470</v>
      </c>
      <c r="C15" s="224" t="s">
        <v>197</v>
      </c>
      <c r="D15" s="215" t="s">
        <v>198</v>
      </c>
      <c r="E15" s="215" t="s">
        <v>179</v>
      </c>
      <c r="F15" s="215" t="s">
        <v>285</v>
      </c>
      <c r="G15" s="218">
        <v>47087</v>
      </c>
      <c r="H15" s="233">
        <v>143175.45000000001</v>
      </c>
      <c r="I15" s="1">
        <v>0</v>
      </c>
      <c r="J15" s="4" t="s">
        <v>14</v>
      </c>
      <c r="K15" s="1">
        <f t="shared" si="1"/>
        <v>15288.510000000002</v>
      </c>
      <c r="L15" s="1">
        <v>0</v>
      </c>
      <c r="M15" s="1">
        <v>0</v>
      </c>
      <c r="N15" s="1">
        <v>0</v>
      </c>
      <c r="O15" s="1">
        <v>0</v>
      </c>
      <c r="P15" s="1">
        <v>15288.510000000002</v>
      </c>
      <c r="Q15" s="6">
        <v>0</v>
      </c>
      <c r="R15" s="224" t="s">
        <v>180</v>
      </c>
    </row>
    <row r="16" spans="1:18" ht="53.25" customHeight="1" x14ac:dyDescent="0.25">
      <c r="A16" s="232"/>
      <c r="B16" s="224"/>
      <c r="C16" s="224"/>
      <c r="D16" s="216"/>
      <c r="E16" s="216"/>
      <c r="F16" s="216"/>
      <c r="G16" s="219"/>
      <c r="H16" s="233"/>
      <c r="I16" s="29">
        <v>0</v>
      </c>
      <c r="J16" s="28" t="s">
        <v>196</v>
      </c>
      <c r="K16" s="1">
        <f t="shared" si="1"/>
        <v>9601.2000000000007</v>
      </c>
      <c r="L16" s="1">
        <v>0</v>
      </c>
      <c r="M16" s="1">
        <v>0</v>
      </c>
      <c r="N16" s="5">
        <v>0</v>
      </c>
      <c r="O16" s="5">
        <v>0</v>
      </c>
      <c r="P16" s="5">
        <v>9601.2000000000007</v>
      </c>
      <c r="Q16" s="6">
        <v>0</v>
      </c>
      <c r="R16" s="224"/>
    </row>
    <row r="17" spans="1:18" ht="65.45" customHeight="1" x14ac:dyDescent="0.25">
      <c r="A17" s="232"/>
      <c r="B17" s="224"/>
      <c r="C17" s="224"/>
      <c r="D17" s="217"/>
      <c r="E17" s="217"/>
      <c r="F17" s="217"/>
      <c r="G17" s="220"/>
      <c r="H17" s="233"/>
      <c r="I17" s="29">
        <v>0</v>
      </c>
      <c r="J17" s="28" t="s">
        <v>18</v>
      </c>
      <c r="K17" s="1">
        <f t="shared" si="1"/>
        <v>5687.31</v>
      </c>
      <c r="L17" s="1">
        <v>0</v>
      </c>
      <c r="M17" s="1">
        <v>0</v>
      </c>
      <c r="N17" s="5">
        <v>0</v>
      </c>
      <c r="O17" s="5">
        <v>0</v>
      </c>
      <c r="P17" s="5">
        <v>5687.31</v>
      </c>
      <c r="Q17" s="6">
        <v>0</v>
      </c>
      <c r="R17" s="224"/>
    </row>
    <row r="18" spans="1:18" ht="26.25" customHeight="1" x14ac:dyDescent="0.25">
      <c r="A18" s="232">
        <v>3</v>
      </c>
      <c r="B18" s="215" t="s">
        <v>96</v>
      </c>
      <c r="C18" s="224" t="s">
        <v>182</v>
      </c>
      <c r="D18" s="215" t="s">
        <v>199</v>
      </c>
      <c r="E18" s="215" t="s">
        <v>179</v>
      </c>
      <c r="F18" s="215" t="s">
        <v>285</v>
      </c>
      <c r="G18" s="218">
        <v>47087</v>
      </c>
      <c r="H18" s="233">
        <v>53980.639999999999</v>
      </c>
      <c r="I18" s="1">
        <v>0</v>
      </c>
      <c r="J18" s="4" t="s">
        <v>14</v>
      </c>
      <c r="K18" s="1">
        <f t="shared" si="1"/>
        <v>36010</v>
      </c>
      <c r="L18" s="1">
        <v>0</v>
      </c>
      <c r="M18" s="1">
        <v>0</v>
      </c>
      <c r="N18" s="1">
        <v>0</v>
      </c>
      <c r="O18" s="1">
        <v>0</v>
      </c>
      <c r="P18" s="1">
        <v>36010</v>
      </c>
      <c r="Q18" s="6">
        <v>0</v>
      </c>
      <c r="R18" s="224" t="s">
        <v>180</v>
      </c>
    </row>
    <row r="19" spans="1:18" ht="46.5" customHeight="1" x14ac:dyDescent="0.25">
      <c r="A19" s="232"/>
      <c r="B19" s="216"/>
      <c r="C19" s="224"/>
      <c r="D19" s="216"/>
      <c r="E19" s="216"/>
      <c r="F19" s="216"/>
      <c r="G19" s="216"/>
      <c r="H19" s="233"/>
      <c r="I19" s="29">
        <v>0</v>
      </c>
      <c r="J19" s="28" t="s">
        <v>196</v>
      </c>
      <c r="K19" s="1">
        <f t="shared" si="1"/>
        <v>22038.12</v>
      </c>
      <c r="L19" s="1">
        <v>0</v>
      </c>
      <c r="M19" s="1">
        <v>0</v>
      </c>
      <c r="N19" s="5">
        <v>0</v>
      </c>
      <c r="O19" s="5">
        <v>0</v>
      </c>
      <c r="P19" s="5">
        <v>22038.12</v>
      </c>
      <c r="Q19" s="6">
        <v>0</v>
      </c>
      <c r="R19" s="224"/>
    </row>
    <row r="20" spans="1:18" ht="62.25" customHeight="1" x14ac:dyDescent="0.25">
      <c r="A20" s="232"/>
      <c r="B20" s="217"/>
      <c r="C20" s="224"/>
      <c r="D20" s="217"/>
      <c r="E20" s="217"/>
      <c r="F20" s="217"/>
      <c r="G20" s="217"/>
      <c r="H20" s="233"/>
      <c r="I20" s="29">
        <v>0</v>
      </c>
      <c r="J20" s="28" t="s">
        <v>18</v>
      </c>
      <c r="K20" s="1">
        <f t="shared" si="1"/>
        <v>13971.88</v>
      </c>
      <c r="L20" s="1">
        <v>0</v>
      </c>
      <c r="M20" s="1">
        <v>0</v>
      </c>
      <c r="N20" s="5">
        <v>0</v>
      </c>
      <c r="O20" s="5">
        <v>0</v>
      </c>
      <c r="P20" s="5">
        <v>13971.88</v>
      </c>
      <c r="Q20" s="6">
        <v>0</v>
      </c>
      <c r="R20" s="224"/>
    </row>
    <row r="21" spans="1:18" ht="29.25" customHeight="1" x14ac:dyDescent="0.25">
      <c r="A21" s="232">
        <v>4</v>
      </c>
      <c r="B21" s="224" t="s">
        <v>137</v>
      </c>
      <c r="C21" s="224" t="s">
        <v>200</v>
      </c>
      <c r="D21" s="224" t="s">
        <v>201</v>
      </c>
      <c r="E21" s="224" t="s">
        <v>179</v>
      </c>
      <c r="F21" s="224" t="s">
        <v>285</v>
      </c>
      <c r="G21" s="230">
        <v>47087</v>
      </c>
      <c r="H21" s="233">
        <v>258497.99</v>
      </c>
      <c r="I21" s="1">
        <v>0</v>
      </c>
      <c r="J21" s="4" t="s">
        <v>14</v>
      </c>
      <c r="K21" s="1">
        <f t="shared" si="1"/>
        <v>172331.99</v>
      </c>
      <c r="L21" s="1">
        <v>0</v>
      </c>
      <c r="M21" s="1">
        <v>0</v>
      </c>
      <c r="N21" s="1">
        <v>0</v>
      </c>
      <c r="O21" s="1">
        <v>0</v>
      </c>
      <c r="P21" s="1">
        <v>172331.99</v>
      </c>
      <c r="Q21" s="6">
        <v>0</v>
      </c>
      <c r="R21" s="224" t="s">
        <v>180</v>
      </c>
    </row>
    <row r="22" spans="1:18" ht="42" customHeight="1" x14ac:dyDescent="0.25">
      <c r="A22" s="232"/>
      <c r="B22" s="224"/>
      <c r="C22" s="224"/>
      <c r="D22" s="224"/>
      <c r="E22" s="224"/>
      <c r="F22" s="224"/>
      <c r="G22" s="224"/>
      <c r="H22" s="233"/>
      <c r="I22" s="29">
        <v>0</v>
      </c>
      <c r="J22" s="28" t="s">
        <v>196</v>
      </c>
      <c r="K22" s="1">
        <f t="shared" si="1"/>
        <v>105467.18</v>
      </c>
      <c r="L22" s="1">
        <v>0</v>
      </c>
      <c r="M22" s="1">
        <v>0</v>
      </c>
      <c r="N22" s="5">
        <v>0</v>
      </c>
      <c r="O22" s="5">
        <v>0</v>
      </c>
      <c r="P22" s="5">
        <v>105467.18</v>
      </c>
      <c r="Q22" s="6">
        <v>0</v>
      </c>
      <c r="R22" s="224"/>
    </row>
    <row r="23" spans="1:18" ht="66.75" customHeight="1" x14ac:dyDescent="0.25">
      <c r="A23" s="232"/>
      <c r="B23" s="224"/>
      <c r="C23" s="224"/>
      <c r="D23" s="224"/>
      <c r="E23" s="224"/>
      <c r="F23" s="224"/>
      <c r="G23" s="224"/>
      <c r="H23" s="233"/>
      <c r="I23" s="29">
        <v>0</v>
      </c>
      <c r="J23" s="28" t="s">
        <v>18</v>
      </c>
      <c r="K23" s="1">
        <f t="shared" si="1"/>
        <v>66864.81</v>
      </c>
      <c r="L23" s="1">
        <v>0</v>
      </c>
      <c r="M23" s="1">
        <v>0</v>
      </c>
      <c r="N23" s="5">
        <v>0</v>
      </c>
      <c r="O23" s="5">
        <v>0</v>
      </c>
      <c r="P23" s="5">
        <v>66864.81</v>
      </c>
      <c r="Q23" s="6">
        <v>0</v>
      </c>
      <c r="R23" s="224"/>
    </row>
    <row r="24" spans="1:18" ht="30" customHeight="1" x14ac:dyDescent="0.25">
      <c r="A24" s="232">
        <v>5</v>
      </c>
      <c r="B24" s="224" t="s">
        <v>469</v>
      </c>
      <c r="C24" s="224" t="s">
        <v>536</v>
      </c>
      <c r="D24" s="224" t="s">
        <v>202</v>
      </c>
      <c r="E24" s="224" t="s">
        <v>179</v>
      </c>
      <c r="F24" s="224" t="s">
        <v>285</v>
      </c>
      <c r="G24" s="230">
        <v>47087</v>
      </c>
      <c r="H24" s="233">
        <v>270590</v>
      </c>
      <c r="I24" s="1">
        <v>0</v>
      </c>
      <c r="J24" s="4" t="s">
        <v>14</v>
      </c>
      <c r="K24" s="1">
        <f t="shared" si="1"/>
        <v>135295</v>
      </c>
      <c r="L24" s="1">
        <v>0</v>
      </c>
      <c r="M24" s="1">
        <v>0</v>
      </c>
      <c r="N24" s="1">
        <v>0</v>
      </c>
      <c r="O24" s="1">
        <v>0</v>
      </c>
      <c r="P24" s="1">
        <v>135295</v>
      </c>
      <c r="Q24" s="6">
        <v>0</v>
      </c>
      <c r="R24" s="224" t="s">
        <v>180</v>
      </c>
    </row>
    <row r="25" spans="1:18" ht="44.25" customHeight="1" x14ac:dyDescent="0.25">
      <c r="A25" s="232"/>
      <c r="B25" s="224"/>
      <c r="C25" s="224"/>
      <c r="D25" s="224"/>
      <c r="E25" s="224"/>
      <c r="F25" s="224"/>
      <c r="G25" s="224"/>
      <c r="H25" s="233"/>
      <c r="I25" s="29">
        <v>0</v>
      </c>
      <c r="J25" s="28" t="s">
        <v>196</v>
      </c>
      <c r="K25" s="1">
        <f t="shared" si="1"/>
        <v>82800.539999999994</v>
      </c>
      <c r="L25" s="1">
        <v>0</v>
      </c>
      <c r="M25" s="1">
        <v>0</v>
      </c>
      <c r="N25" s="5">
        <v>0</v>
      </c>
      <c r="O25" s="5">
        <v>0</v>
      </c>
      <c r="P25" s="5">
        <v>82800.539999999994</v>
      </c>
      <c r="Q25" s="6">
        <v>0</v>
      </c>
      <c r="R25" s="224"/>
    </row>
    <row r="26" spans="1:18" ht="65.25" customHeight="1" x14ac:dyDescent="0.25">
      <c r="A26" s="232"/>
      <c r="B26" s="224"/>
      <c r="C26" s="224"/>
      <c r="D26" s="224"/>
      <c r="E26" s="224"/>
      <c r="F26" s="224"/>
      <c r="G26" s="224"/>
      <c r="H26" s="233"/>
      <c r="I26" s="29">
        <v>0</v>
      </c>
      <c r="J26" s="28" t="s">
        <v>18</v>
      </c>
      <c r="K26" s="1">
        <f t="shared" si="1"/>
        <v>52494.46</v>
      </c>
      <c r="L26" s="1">
        <v>0</v>
      </c>
      <c r="M26" s="1">
        <v>0</v>
      </c>
      <c r="N26" s="5">
        <v>0</v>
      </c>
      <c r="O26" s="5">
        <v>0</v>
      </c>
      <c r="P26" s="5">
        <v>52494.46</v>
      </c>
      <c r="Q26" s="6">
        <v>0</v>
      </c>
      <c r="R26" s="224"/>
    </row>
    <row r="27" spans="1:18" ht="27.75" customHeight="1" x14ac:dyDescent="0.25">
      <c r="A27" s="232">
        <v>6</v>
      </c>
      <c r="B27" s="224" t="s">
        <v>467</v>
      </c>
      <c r="C27" s="224" t="s">
        <v>203</v>
      </c>
      <c r="D27" s="224" t="s">
        <v>204</v>
      </c>
      <c r="E27" s="224" t="s">
        <v>179</v>
      </c>
      <c r="F27" s="224" t="s">
        <v>285</v>
      </c>
      <c r="G27" s="230">
        <v>47087</v>
      </c>
      <c r="H27" s="233">
        <v>154000</v>
      </c>
      <c r="I27" s="1">
        <v>0</v>
      </c>
      <c r="J27" s="4" t="s">
        <v>14</v>
      </c>
      <c r="K27" s="1">
        <f t="shared" si="1"/>
        <v>77000</v>
      </c>
      <c r="L27" s="1">
        <v>0</v>
      </c>
      <c r="M27" s="1">
        <v>0</v>
      </c>
      <c r="N27" s="1">
        <v>0</v>
      </c>
      <c r="O27" s="1">
        <v>0</v>
      </c>
      <c r="P27" s="1">
        <v>77000</v>
      </c>
      <c r="Q27" s="6">
        <v>0</v>
      </c>
      <c r="R27" s="224" t="s">
        <v>180</v>
      </c>
    </row>
    <row r="28" spans="1:18" ht="49.5" customHeight="1" x14ac:dyDescent="0.25">
      <c r="A28" s="232"/>
      <c r="B28" s="224"/>
      <c r="C28" s="224"/>
      <c r="D28" s="224"/>
      <c r="E28" s="224"/>
      <c r="F28" s="224"/>
      <c r="G28" s="224"/>
      <c r="H28" s="233"/>
      <c r="I28" s="29">
        <v>0</v>
      </c>
      <c r="J28" s="28" t="s">
        <v>196</v>
      </c>
      <c r="K28" s="1">
        <f t="shared" si="1"/>
        <v>47124</v>
      </c>
      <c r="L28" s="1">
        <v>0</v>
      </c>
      <c r="M28" s="1">
        <v>0</v>
      </c>
      <c r="N28" s="5">
        <v>0</v>
      </c>
      <c r="O28" s="5">
        <v>0</v>
      </c>
      <c r="P28" s="5">
        <v>47124</v>
      </c>
      <c r="Q28" s="6">
        <v>0</v>
      </c>
      <c r="R28" s="224"/>
    </row>
    <row r="29" spans="1:18" ht="61.5" customHeight="1" x14ac:dyDescent="0.25">
      <c r="A29" s="232"/>
      <c r="B29" s="224"/>
      <c r="C29" s="224"/>
      <c r="D29" s="224"/>
      <c r="E29" s="224"/>
      <c r="F29" s="224"/>
      <c r="G29" s="224"/>
      <c r="H29" s="233"/>
      <c r="I29" s="29">
        <v>0</v>
      </c>
      <c r="J29" s="28" t="s">
        <v>18</v>
      </c>
      <c r="K29" s="1">
        <f t="shared" si="1"/>
        <v>29876</v>
      </c>
      <c r="L29" s="1">
        <v>0</v>
      </c>
      <c r="M29" s="1">
        <v>0</v>
      </c>
      <c r="N29" s="5">
        <v>0</v>
      </c>
      <c r="O29" s="5">
        <v>0</v>
      </c>
      <c r="P29" s="5">
        <v>29876</v>
      </c>
      <c r="Q29" s="6">
        <v>0</v>
      </c>
      <c r="R29" s="224"/>
    </row>
    <row r="30" spans="1:18" ht="35.25" customHeight="1" x14ac:dyDescent="0.25">
      <c r="A30" s="232">
        <v>7</v>
      </c>
      <c r="B30" s="224" t="s">
        <v>468</v>
      </c>
      <c r="C30" s="224" t="s">
        <v>177</v>
      </c>
      <c r="D30" s="224" t="s">
        <v>205</v>
      </c>
      <c r="E30" s="224" t="s">
        <v>179</v>
      </c>
      <c r="F30" s="224" t="s">
        <v>285</v>
      </c>
      <c r="G30" s="230">
        <v>47087</v>
      </c>
      <c r="H30" s="233">
        <v>154000</v>
      </c>
      <c r="I30" s="1">
        <v>0</v>
      </c>
      <c r="J30" s="4" t="s">
        <v>14</v>
      </c>
      <c r="K30" s="1">
        <f t="shared" si="1"/>
        <v>77000</v>
      </c>
      <c r="L30" s="1">
        <v>0</v>
      </c>
      <c r="M30" s="1">
        <v>0</v>
      </c>
      <c r="N30" s="1">
        <v>0</v>
      </c>
      <c r="O30" s="1">
        <v>0</v>
      </c>
      <c r="P30" s="1">
        <v>77000</v>
      </c>
      <c r="Q30" s="6">
        <v>0</v>
      </c>
      <c r="R30" s="224" t="s">
        <v>180</v>
      </c>
    </row>
    <row r="31" spans="1:18" ht="45.75" customHeight="1" x14ac:dyDescent="0.25">
      <c r="A31" s="232"/>
      <c r="B31" s="224"/>
      <c r="C31" s="224"/>
      <c r="D31" s="224"/>
      <c r="E31" s="224"/>
      <c r="F31" s="224"/>
      <c r="G31" s="224"/>
      <c r="H31" s="233"/>
      <c r="I31" s="29">
        <v>0</v>
      </c>
      <c r="J31" s="28" t="s">
        <v>196</v>
      </c>
      <c r="K31" s="1">
        <f t="shared" si="1"/>
        <v>47124</v>
      </c>
      <c r="L31" s="1">
        <v>0</v>
      </c>
      <c r="M31" s="1">
        <v>0</v>
      </c>
      <c r="N31" s="5">
        <v>0</v>
      </c>
      <c r="O31" s="5">
        <v>0</v>
      </c>
      <c r="P31" s="5">
        <v>47124</v>
      </c>
      <c r="Q31" s="6">
        <v>0</v>
      </c>
      <c r="R31" s="224"/>
    </row>
    <row r="32" spans="1:18" ht="62.25" customHeight="1" x14ac:dyDescent="0.25">
      <c r="A32" s="232"/>
      <c r="B32" s="224"/>
      <c r="C32" s="224"/>
      <c r="D32" s="224"/>
      <c r="E32" s="224"/>
      <c r="F32" s="224"/>
      <c r="G32" s="224"/>
      <c r="H32" s="233"/>
      <c r="I32" s="29">
        <v>0</v>
      </c>
      <c r="J32" s="28" t="s">
        <v>18</v>
      </c>
      <c r="K32" s="1">
        <f t="shared" si="1"/>
        <v>29876</v>
      </c>
      <c r="L32" s="1">
        <v>0</v>
      </c>
      <c r="M32" s="1">
        <v>0</v>
      </c>
      <c r="N32" s="5">
        <v>0</v>
      </c>
      <c r="O32" s="5">
        <v>0</v>
      </c>
      <c r="P32" s="5">
        <v>29876</v>
      </c>
      <c r="Q32" s="6">
        <v>0</v>
      </c>
      <c r="R32" s="224"/>
    </row>
    <row r="33" spans="1:20" ht="32.25" customHeight="1" x14ac:dyDescent="0.25">
      <c r="A33" s="232">
        <v>8</v>
      </c>
      <c r="B33" s="224" t="s">
        <v>466</v>
      </c>
      <c r="C33" s="224" t="s">
        <v>189</v>
      </c>
      <c r="D33" s="215" t="s">
        <v>190</v>
      </c>
      <c r="E33" s="215" t="s">
        <v>179</v>
      </c>
      <c r="F33" s="215" t="s">
        <v>285</v>
      </c>
      <c r="G33" s="218">
        <v>47087</v>
      </c>
      <c r="H33" s="231">
        <v>158169.93</v>
      </c>
      <c r="I33" s="29">
        <v>0</v>
      </c>
      <c r="J33" s="28" t="s">
        <v>8</v>
      </c>
      <c r="K33" s="1">
        <f t="shared" ref="K33" si="2">P33</f>
        <v>100169.93</v>
      </c>
      <c r="L33" s="1">
        <v>0</v>
      </c>
      <c r="M33" s="1">
        <v>0</v>
      </c>
      <c r="N33" s="1">
        <v>0</v>
      </c>
      <c r="O33" s="1">
        <v>0</v>
      </c>
      <c r="P33" s="1">
        <v>100169.93</v>
      </c>
      <c r="Q33" s="1">
        <v>0</v>
      </c>
      <c r="R33" s="224" t="s">
        <v>180</v>
      </c>
    </row>
    <row r="34" spans="1:20" ht="36" customHeight="1" x14ac:dyDescent="0.25">
      <c r="A34" s="232"/>
      <c r="B34" s="224"/>
      <c r="C34" s="224"/>
      <c r="D34" s="216"/>
      <c r="E34" s="216"/>
      <c r="F34" s="216"/>
      <c r="G34" s="216"/>
      <c r="H34" s="232"/>
      <c r="I34" s="29">
        <v>0</v>
      </c>
      <c r="J34" s="28" t="s">
        <v>10</v>
      </c>
      <c r="K34" s="1">
        <f>P34</f>
        <v>61304</v>
      </c>
      <c r="L34" s="1">
        <v>0</v>
      </c>
      <c r="M34" s="1">
        <v>0</v>
      </c>
      <c r="N34" s="1">
        <v>0</v>
      </c>
      <c r="O34" s="1">
        <v>0</v>
      </c>
      <c r="P34" s="1">
        <v>61304</v>
      </c>
      <c r="Q34" s="1">
        <v>0</v>
      </c>
      <c r="R34" s="224"/>
    </row>
    <row r="35" spans="1:20" ht="63" customHeight="1" x14ac:dyDescent="0.25">
      <c r="A35" s="232"/>
      <c r="B35" s="224"/>
      <c r="C35" s="224"/>
      <c r="D35" s="217"/>
      <c r="E35" s="217"/>
      <c r="F35" s="217"/>
      <c r="G35" s="217"/>
      <c r="H35" s="232"/>
      <c r="I35" s="29">
        <v>0</v>
      </c>
      <c r="J35" s="28" t="s">
        <v>11</v>
      </c>
      <c r="K35" s="1">
        <f t="shared" ref="K35" si="3">P35</f>
        <v>38865.93</v>
      </c>
      <c r="L35" s="1">
        <v>0</v>
      </c>
      <c r="M35" s="1">
        <v>0</v>
      </c>
      <c r="N35" s="1">
        <v>0</v>
      </c>
      <c r="O35" s="1">
        <v>0</v>
      </c>
      <c r="P35" s="1">
        <v>38865.93</v>
      </c>
      <c r="Q35" s="1">
        <v>0</v>
      </c>
      <c r="R35" s="224"/>
    </row>
    <row r="36" spans="1:20" ht="36.75" customHeight="1" x14ac:dyDescent="0.25">
      <c r="A36" s="232">
        <v>9</v>
      </c>
      <c r="B36" s="224" t="s">
        <v>471</v>
      </c>
      <c r="C36" s="224" t="s">
        <v>191</v>
      </c>
      <c r="D36" s="224" t="s">
        <v>190</v>
      </c>
      <c r="E36" s="224" t="s">
        <v>179</v>
      </c>
      <c r="F36" s="224" t="s">
        <v>285</v>
      </c>
      <c r="G36" s="230">
        <v>47087</v>
      </c>
      <c r="H36" s="231">
        <v>150150.32999999999</v>
      </c>
      <c r="I36" s="29">
        <v>0</v>
      </c>
      <c r="J36" s="28" t="s">
        <v>8</v>
      </c>
      <c r="K36" s="1">
        <f>P36</f>
        <v>80000</v>
      </c>
      <c r="L36" s="1">
        <v>0</v>
      </c>
      <c r="M36" s="1">
        <v>0</v>
      </c>
      <c r="N36" s="1">
        <v>0</v>
      </c>
      <c r="O36" s="1">
        <v>0</v>
      </c>
      <c r="P36" s="1">
        <v>80000</v>
      </c>
      <c r="Q36" s="1">
        <v>0</v>
      </c>
      <c r="R36" s="224" t="s">
        <v>180</v>
      </c>
    </row>
    <row r="37" spans="1:20" ht="48" customHeight="1" x14ac:dyDescent="0.25">
      <c r="A37" s="232"/>
      <c r="B37" s="224"/>
      <c r="C37" s="224"/>
      <c r="D37" s="224"/>
      <c r="E37" s="224"/>
      <c r="F37" s="224"/>
      <c r="G37" s="224"/>
      <c r="H37" s="232"/>
      <c r="I37" s="29">
        <v>0</v>
      </c>
      <c r="J37" s="28" t="s">
        <v>10</v>
      </c>
      <c r="K37" s="1">
        <f t="shared" ref="K37:K38" si="4">P37</f>
        <v>48960</v>
      </c>
      <c r="L37" s="1">
        <v>0</v>
      </c>
      <c r="M37" s="1">
        <v>0</v>
      </c>
      <c r="N37" s="1">
        <v>0</v>
      </c>
      <c r="O37" s="1">
        <v>0</v>
      </c>
      <c r="P37" s="1">
        <v>48960</v>
      </c>
      <c r="Q37" s="1">
        <v>0</v>
      </c>
      <c r="R37" s="224"/>
    </row>
    <row r="38" spans="1:20" ht="60" customHeight="1" x14ac:dyDescent="0.25">
      <c r="A38" s="232"/>
      <c r="B38" s="224"/>
      <c r="C38" s="224"/>
      <c r="D38" s="224"/>
      <c r="E38" s="224"/>
      <c r="F38" s="224"/>
      <c r="G38" s="224"/>
      <c r="H38" s="232"/>
      <c r="I38" s="29">
        <v>0</v>
      </c>
      <c r="J38" s="28" t="s">
        <v>11</v>
      </c>
      <c r="K38" s="1">
        <f t="shared" si="4"/>
        <v>31040</v>
      </c>
      <c r="L38" s="1">
        <v>0</v>
      </c>
      <c r="M38" s="1">
        <v>0</v>
      </c>
      <c r="N38" s="1">
        <v>0</v>
      </c>
      <c r="O38" s="1">
        <v>0</v>
      </c>
      <c r="P38" s="1">
        <v>31040</v>
      </c>
      <c r="Q38" s="1">
        <v>0</v>
      </c>
      <c r="R38" s="224"/>
    </row>
    <row r="39" spans="1:20" ht="34.5" customHeight="1" x14ac:dyDescent="0.25">
      <c r="A39" s="232">
        <v>10</v>
      </c>
      <c r="B39" s="224" t="s">
        <v>475</v>
      </c>
      <c r="C39" s="224" t="s">
        <v>537</v>
      </c>
      <c r="D39" s="224" t="s">
        <v>185</v>
      </c>
      <c r="E39" s="224" t="s">
        <v>179</v>
      </c>
      <c r="F39" s="224" t="s">
        <v>285</v>
      </c>
      <c r="G39" s="230">
        <v>47087</v>
      </c>
      <c r="H39" s="231">
        <v>44000</v>
      </c>
      <c r="I39" s="29">
        <v>0</v>
      </c>
      <c r="J39" s="28" t="s">
        <v>8</v>
      </c>
      <c r="K39" s="1">
        <f>P39</f>
        <v>22000</v>
      </c>
      <c r="L39" s="1">
        <v>0</v>
      </c>
      <c r="M39" s="1">
        <v>0</v>
      </c>
      <c r="N39" s="1">
        <v>0</v>
      </c>
      <c r="O39" s="1">
        <v>0</v>
      </c>
      <c r="P39" s="1">
        <v>22000</v>
      </c>
      <c r="Q39" s="1">
        <v>0</v>
      </c>
      <c r="R39" s="224" t="s">
        <v>180</v>
      </c>
    </row>
    <row r="40" spans="1:20" ht="47.25" customHeight="1" x14ac:dyDescent="0.25">
      <c r="A40" s="232"/>
      <c r="B40" s="224"/>
      <c r="C40" s="224"/>
      <c r="D40" s="224"/>
      <c r="E40" s="224"/>
      <c r="F40" s="224"/>
      <c r="G40" s="224"/>
      <c r="H40" s="232"/>
      <c r="I40" s="29">
        <v>0</v>
      </c>
      <c r="J40" s="28" t="s">
        <v>10</v>
      </c>
      <c r="K40" s="1">
        <f t="shared" ref="K40:K41" si="5">P40</f>
        <v>13464</v>
      </c>
      <c r="L40" s="1">
        <v>0</v>
      </c>
      <c r="M40" s="1">
        <v>0</v>
      </c>
      <c r="N40" s="1">
        <v>0</v>
      </c>
      <c r="O40" s="1">
        <v>0</v>
      </c>
      <c r="P40" s="1">
        <v>13464</v>
      </c>
      <c r="Q40" s="1">
        <v>0</v>
      </c>
      <c r="R40" s="224"/>
    </row>
    <row r="41" spans="1:20" ht="74.25" customHeight="1" x14ac:dyDescent="0.25">
      <c r="A41" s="232"/>
      <c r="B41" s="224"/>
      <c r="C41" s="224"/>
      <c r="D41" s="224"/>
      <c r="E41" s="224"/>
      <c r="F41" s="224"/>
      <c r="G41" s="224"/>
      <c r="H41" s="232"/>
      <c r="I41" s="29">
        <v>0</v>
      </c>
      <c r="J41" s="28" t="s">
        <v>11</v>
      </c>
      <c r="K41" s="1">
        <f t="shared" si="5"/>
        <v>8536</v>
      </c>
      <c r="L41" s="1">
        <v>0</v>
      </c>
      <c r="M41" s="1">
        <v>0</v>
      </c>
      <c r="N41" s="1">
        <v>0</v>
      </c>
      <c r="O41" s="1">
        <v>0</v>
      </c>
      <c r="P41" s="1">
        <v>8536</v>
      </c>
      <c r="Q41" s="1">
        <v>0</v>
      </c>
      <c r="R41" s="224"/>
    </row>
    <row r="42" spans="1:20" ht="25.5" customHeight="1" x14ac:dyDescent="0.25">
      <c r="A42" s="232">
        <v>11</v>
      </c>
      <c r="B42" s="224" t="s">
        <v>293</v>
      </c>
      <c r="C42" s="224" t="s">
        <v>282</v>
      </c>
      <c r="D42" s="224" t="s">
        <v>294</v>
      </c>
      <c r="E42" s="224" t="s">
        <v>209</v>
      </c>
      <c r="F42" s="224" t="s">
        <v>545</v>
      </c>
      <c r="G42" s="230">
        <v>46721</v>
      </c>
      <c r="H42" s="233">
        <v>255000</v>
      </c>
      <c r="I42" s="1">
        <f>I43+I44</f>
        <v>0</v>
      </c>
      <c r="J42" s="4" t="s">
        <v>14</v>
      </c>
      <c r="K42" s="1">
        <f>L42+M42+N42+O42+P42</f>
        <v>255000</v>
      </c>
      <c r="L42" s="1">
        <f>L43+L44</f>
        <v>0</v>
      </c>
      <c r="M42" s="1">
        <f t="shared" ref="M42:P42" si="6">M43+M44</f>
        <v>0</v>
      </c>
      <c r="N42" s="1">
        <f>N43+N44</f>
        <v>0</v>
      </c>
      <c r="O42" s="1">
        <f t="shared" si="6"/>
        <v>72743.58</v>
      </c>
      <c r="P42" s="1">
        <f t="shared" si="6"/>
        <v>182256.41999999998</v>
      </c>
      <c r="Q42" s="6">
        <v>0</v>
      </c>
      <c r="R42" s="224" t="s">
        <v>180</v>
      </c>
      <c r="S42" s="259"/>
    </row>
    <row r="43" spans="1:20" ht="42.75" customHeight="1" x14ac:dyDescent="0.25">
      <c r="A43" s="232"/>
      <c r="B43" s="224"/>
      <c r="C43" s="224"/>
      <c r="D43" s="224"/>
      <c r="E43" s="224"/>
      <c r="F43" s="224"/>
      <c r="G43" s="224"/>
      <c r="H43" s="233"/>
      <c r="I43" s="29">
        <v>0</v>
      </c>
      <c r="J43" s="28" t="s">
        <v>196</v>
      </c>
      <c r="K43" s="1">
        <f t="shared" ref="K43:K44" si="7">L43+M43+N43+O43+P43</f>
        <v>185744.14</v>
      </c>
      <c r="L43" s="1">
        <v>0</v>
      </c>
      <c r="M43" s="1">
        <v>0</v>
      </c>
      <c r="N43" s="5">
        <v>0</v>
      </c>
      <c r="O43" s="5">
        <v>72016.14</v>
      </c>
      <c r="P43" s="5">
        <v>113728</v>
      </c>
      <c r="Q43" s="6">
        <v>0</v>
      </c>
      <c r="R43" s="224"/>
      <c r="S43" s="259"/>
      <c r="T43" s="80"/>
    </row>
    <row r="44" spans="1:20" ht="57" customHeight="1" x14ac:dyDescent="0.25">
      <c r="A44" s="232"/>
      <c r="B44" s="224"/>
      <c r="C44" s="224"/>
      <c r="D44" s="224"/>
      <c r="E44" s="224"/>
      <c r="F44" s="224"/>
      <c r="G44" s="224"/>
      <c r="H44" s="233"/>
      <c r="I44" s="29">
        <v>0</v>
      </c>
      <c r="J44" s="28" t="s">
        <v>18</v>
      </c>
      <c r="K44" s="1">
        <f t="shared" si="7"/>
        <v>69255.86</v>
      </c>
      <c r="L44" s="1">
        <v>0</v>
      </c>
      <c r="M44" s="1">
        <v>0</v>
      </c>
      <c r="N44" s="5">
        <v>0</v>
      </c>
      <c r="O44" s="5">
        <v>727.44</v>
      </c>
      <c r="P44" s="5">
        <v>68528.42</v>
      </c>
      <c r="Q44" s="6">
        <v>0</v>
      </c>
      <c r="R44" s="224"/>
      <c r="S44" s="259"/>
      <c r="T44" s="80"/>
    </row>
    <row r="45" spans="1:20" ht="25.5" customHeight="1" x14ac:dyDescent="0.25">
      <c r="A45" s="232">
        <v>12</v>
      </c>
      <c r="B45" s="224" t="s">
        <v>412</v>
      </c>
      <c r="C45" s="224" t="s">
        <v>284</v>
      </c>
      <c r="D45" s="224" t="s">
        <v>292</v>
      </c>
      <c r="E45" s="224" t="s">
        <v>210</v>
      </c>
      <c r="F45" s="224" t="s">
        <v>498</v>
      </c>
      <c r="G45" s="230">
        <v>46721</v>
      </c>
      <c r="H45" s="233">
        <f>N45+O45+P45</f>
        <v>111796.1</v>
      </c>
      <c r="I45" s="1">
        <f>I46+I47</f>
        <v>0</v>
      </c>
      <c r="J45" s="4" t="s">
        <v>14</v>
      </c>
      <c r="K45" s="1">
        <f>L45+M45+N45+O45+P45</f>
        <v>114008.48999999999</v>
      </c>
      <c r="L45" s="1">
        <f>L46+L47</f>
        <v>0</v>
      </c>
      <c r="M45" s="1">
        <f t="shared" ref="M45:P45" si="8">M46+M47</f>
        <v>2212.39</v>
      </c>
      <c r="N45" s="1">
        <f t="shared" si="8"/>
        <v>42662.89</v>
      </c>
      <c r="O45" s="1">
        <f t="shared" si="8"/>
        <v>27337.11</v>
      </c>
      <c r="P45" s="1">
        <f t="shared" si="8"/>
        <v>41796.1</v>
      </c>
      <c r="Q45" s="6">
        <v>0</v>
      </c>
      <c r="R45" s="224" t="s">
        <v>180</v>
      </c>
      <c r="S45" s="259"/>
    </row>
    <row r="46" spans="1:20" ht="42.75" customHeight="1" x14ac:dyDescent="0.25">
      <c r="A46" s="232"/>
      <c r="B46" s="224"/>
      <c r="C46" s="224"/>
      <c r="D46" s="224"/>
      <c r="E46" s="224"/>
      <c r="F46" s="224"/>
      <c r="G46" s="224"/>
      <c r="H46" s="233"/>
      <c r="I46" s="29">
        <v>0</v>
      </c>
      <c r="J46" s="28" t="s">
        <v>196</v>
      </c>
      <c r="K46" s="1">
        <f t="shared" ref="K46:K50" si="9">L46+M46+N46+O46+P46</f>
        <v>69760.759999999995</v>
      </c>
      <c r="L46" s="1">
        <v>0</v>
      </c>
      <c r="M46" s="1">
        <v>0</v>
      </c>
      <c r="N46" s="5">
        <v>26621.64</v>
      </c>
      <c r="O46" s="5">
        <v>17058.36</v>
      </c>
      <c r="P46" s="5">
        <v>26080.76</v>
      </c>
      <c r="Q46" s="6">
        <v>0</v>
      </c>
      <c r="R46" s="224"/>
      <c r="S46" s="259"/>
    </row>
    <row r="47" spans="1:20" ht="57" customHeight="1" x14ac:dyDescent="0.25">
      <c r="A47" s="232"/>
      <c r="B47" s="224"/>
      <c r="C47" s="224"/>
      <c r="D47" s="224"/>
      <c r="E47" s="224"/>
      <c r="F47" s="224"/>
      <c r="G47" s="224"/>
      <c r="H47" s="233"/>
      <c r="I47" s="29">
        <v>0</v>
      </c>
      <c r="J47" s="28" t="s">
        <v>18</v>
      </c>
      <c r="K47" s="1">
        <f t="shared" si="9"/>
        <v>44247.729999999996</v>
      </c>
      <c r="L47" s="1">
        <v>0</v>
      </c>
      <c r="M47" s="1">
        <v>2212.39</v>
      </c>
      <c r="N47" s="5">
        <v>16041.25</v>
      </c>
      <c r="O47" s="5">
        <v>10278.75</v>
      </c>
      <c r="P47" s="5">
        <v>15715.34</v>
      </c>
      <c r="Q47" s="6">
        <v>0</v>
      </c>
      <c r="R47" s="224"/>
      <c r="S47" s="259"/>
    </row>
    <row r="48" spans="1:20" ht="25.5" customHeight="1" x14ac:dyDescent="0.25">
      <c r="A48" s="232">
        <v>13</v>
      </c>
      <c r="B48" s="224" t="s">
        <v>464</v>
      </c>
      <c r="C48" s="224" t="s">
        <v>538</v>
      </c>
      <c r="D48" s="224" t="s">
        <v>465</v>
      </c>
      <c r="E48" s="224" t="s">
        <v>210</v>
      </c>
      <c r="F48" s="224" t="s">
        <v>545</v>
      </c>
      <c r="G48" s="230">
        <v>46721</v>
      </c>
      <c r="H48" s="233">
        <v>385000</v>
      </c>
      <c r="I48" s="1">
        <f>I49+I50</f>
        <v>0</v>
      </c>
      <c r="J48" s="4" t="s">
        <v>14</v>
      </c>
      <c r="K48" s="1">
        <f>L48+M48+N48+O48+P48</f>
        <v>385000</v>
      </c>
      <c r="L48" s="1">
        <f>L49+L50</f>
        <v>0</v>
      </c>
      <c r="M48" s="1">
        <f t="shared" ref="M48:P48" si="10">M49+M50</f>
        <v>0</v>
      </c>
      <c r="N48" s="1">
        <f t="shared" si="10"/>
        <v>0</v>
      </c>
      <c r="O48" s="1">
        <f>O49+O50</f>
        <v>350000</v>
      </c>
      <c r="P48" s="1">
        <f t="shared" si="10"/>
        <v>35000</v>
      </c>
      <c r="Q48" s="6">
        <v>0</v>
      </c>
      <c r="R48" s="224" t="s">
        <v>180</v>
      </c>
      <c r="S48" s="229"/>
    </row>
    <row r="49" spans="1:19" ht="42.75" customHeight="1" x14ac:dyDescent="0.25">
      <c r="A49" s="232"/>
      <c r="B49" s="224"/>
      <c r="C49" s="224"/>
      <c r="D49" s="224"/>
      <c r="E49" s="224"/>
      <c r="F49" s="224"/>
      <c r="G49" s="224"/>
      <c r="H49" s="233"/>
      <c r="I49" s="29">
        <v>0</v>
      </c>
      <c r="J49" s="28" t="s">
        <v>196</v>
      </c>
      <c r="K49" s="1">
        <f t="shared" si="9"/>
        <v>238315</v>
      </c>
      <c r="L49" s="1">
        <v>0</v>
      </c>
      <c r="M49" s="1">
        <v>0</v>
      </c>
      <c r="N49" s="5">
        <v>0</v>
      </c>
      <c r="O49" s="5">
        <v>216650</v>
      </c>
      <c r="P49" s="5">
        <v>21665</v>
      </c>
      <c r="Q49" s="6">
        <v>0</v>
      </c>
      <c r="R49" s="224"/>
      <c r="S49" s="229"/>
    </row>
    <row r="50" spans="1:19" ht="57" customHeight="1" x14ac:dyDescent="0.25">
      <c r="A50" s="232"/>
      <c r="B50" s="224"/>
      <c r="C50" s="224"/>
      <c r="D50" s="224"/>
      <c r="E50" s="224"/>
      <c r="F50" s="224"/>
      <c r="G50" s="224"/>
      <c r="H50" s="233"/>
      <c r="I50" s="29">
        <v>0</v>
      </c>
      <c r="J50" s="28" t="s">
        <v>18</v>
      </c>
      <c r="K50" s="1">
        <f t="shared" si="9"/>
        <v>146685</v>
      </c>
      <c r="L50" s="1">
        <v>0</v>
      </c>
      <c r="M50" s="1">
        <v>0</v>
      </c>
      <c r="N50" s="5">
        <v>0</v>
      </c>
      <c r="O50" s="5">
        <v>133350</v>
      </c>
      <c r="P50" s="5">
        <v>13335</v>
      </c>
      <c r="Q50" s="6">
        <v>0</v>
      </c>
      <c r="R50" s="224"/>
      <c r="S50" s="229"/>
    </row>
    <row r="51" spans="1:19" ht="27" customHeight="1" x14ac:dyDescent="0.25">
      <c r="A51" s="232">
        <v>14</v>
      </c>
      <c r="B51" s="224" t="s">
        <v>472</v>
      </c>
      <c r="C51" s="224" t="s">
        <v>192</v>
      </c>
      <c r="D51" s="224" t="s">
        <v>193</v>
      </c>
      <c r="E51" s="224" t="s">
        <v>179</v>
      </c>
      <c r="F51" s="224" t="s">
        <v>285</v>
      </c>
      <c r="G51" s="230">
        <v>47087</v>
      </c>
      <c r="H51" s="231">
        <v>136000</v>
      </c>
      <c r="I51" s="29">
        <v>0</v>
      </c>
      <c r="J51" s="28" t="s">
        <v>8</v>
      </c>
      <c r="K51" s="1">
        <f>P51</f>
        <v>36000</v>
      </c>
      <c r="L51" s="1">
        <v>0</v>
      </c>
      <c r="M51" s="1">
        <v>0</v>
      </c>
      <c r="N51" s="1">
        <v>0</v>
      </c>
      <c r="O51" s="1">
        <v>0</v>
      </c>
      <c r="P51" s="1">
        <f>P52+P53</f>
        <v>36000</v>
      </c>
      <c r="Q51" s="1">
        <v>0</v>
      </c>
      <c r="R51" s="224" t="s">
        <v>180</v>
      </c>
    </row>
    <row r="52" spans="1:19" ht="39.75" customHeight="1" x14ac:dyDescent="0.35">
      <c r="A52" s="232"/>
      <c r="B52" s="224"/>
      <c r="C52" s="224"/>
      <c r="D52" s="224"/>
      <c r="E52" s="224"/>
      <c r="F52" s="224"/>
      <c r="G52" s="224"/>
      <c r="H52" s="232"/>
      <c r="I52" s="29">
        <v>0</v>
      </c>
      <c r="J52" s="28" t="s">
        <v>10</v>
      </c>
      <c r="K52" s="1">
        <f t="shared" ref="K52:K53" si="11">P52</f>
        <v>22032</v>
      </c>
      <c r="L52" s="1">
        <v>0</v>
      </c>
      <c r="M52" s="1">
        <v>0</v>
      </c>
      <c r="N52" s="1">
        <v>0</v>
      </c>
      <c r="O52" s="1">
        <v>0</v>
      </c>
      <c r="P52" s="1">
        <v>22032</v>
      </c>
      <c r="Q52" s="1">
        <v>0</v>
      </c>
      <c r="R52" s="224"/>
      <c r="S52" s="81"/>
    </row>
    <row r="53" spans="1:19" ht="60" customHeight="1" x14ac:dyDescent="0.35">
      <c r="A53" s="232"/>
      <c r="B53" s="224"/>
      <c r="C53" s="224"/>
      <c r="D53" s="224"/>
      <c r="E53" s="224"/>
      <c r="F53" s="224"/>
      <c r="G53" s="224"/>
      <c r="H53" s="232"/>
      <c r="I53" s="29">
        <v>0</v>
      </c>
      <c r="J53" s="28" t="s">
        <v>11</v>
      </c>
      <c r="K53" s="1">
        <f t="shared" si="11"/>
        <v>13968</v>
      </c>
      <c r="L53" s="1">
        <v>0</v>
      </c>
      <c r="M53" s="1">
        <v>0</v>
      </c>
      <c r="N53" s="1">
        <v>0</v>
      </c>
      <c r="O53" s="1">
        <v>0</v>
      </c>
      <c r="P53" s="1">
        <v>13968</v>
      </c>
      <c r="Q53" s="1">
        <v>0</v>
      </c>
      <c r="R53" s="224"/>
      <c r="S53" s="81"/>
    </row>
    <row r="54" spans="1:19" ht="38.25" customHeight="1" x14ac:dyDescent="0.25">
      <c r="A54" s="232">
        <v>15</v>
      </c>
      <c r="B54" s="224" t="s">
        <v>474</v>
      </c>
      <c r="C54" s="224" t="s">
        <v>540</v>
      </c>
      <c r="D54" s="224" t="s">
        <v>473</v>
      </c>
      <c r="E54" s="224" t="s">
        <v>541</v>
      </c>
      <c r="F54" s="224" t="s">
        <v>542</v>
      </c>
      <c r="G54" s="230">
        <v>47087</v>
      </c>
      <c r="H54" s="233">
        <v>644074.65</v>
      </c>
      <c r="I54" s="1">
        <f>I55+I56</f>
        <v>0</v>
      </c>
      <c r="J54" s="4" t="s">
        <v>14</v>
      </c>
      <c r="K54" s="1">
        <f>L54+M54+N54+O54+P54</f>
        <v>313473.41000000003</v>
      </c>
      <c r="L54" s="1">
        <f>L55+L56</f>
        <v>0</v>
      </c>
      <c r="M54" s="1">
        <f t="shared" ref="M54" si="12">M55+M56</f>
        <v>0</v>
      </c>
      <c r="N54" s="1">
        <f>N55+N56</f>
        <v>12818.710000000001</v>
      </c>
      <c r="O54" s="1">
        <f>O55+O56</f>
        <v>68029.430000000008</v>
      </c>
      <c r="P54" s="1">
        <f>P55+P56</f>
        <v>232625.27000000002</v>
      </c>
      <c r="Q54" s="6">
        <v>0</v>
      </c>
      <c r="R54" s="224" t="s">
        <v>180</v>
      </c>
      <c r="S54" s="229"/>
    </row>
    <row r="55" spans="1:19" ht="60.75" customHeight="1" x14ac:dyDescent="0.25">
      <c r="A55" s="232"/>
      <c r="B55" s="224"/>
      <c r="C55" s="224"/>
      <c r="D55" s="224"/>
      <c r="E55" s="224"/>
      <c r="F55" s="224"/>
      <c r="G55" s="224"/>
      <c r="H55" s="233"/>
      <c r="I55" s="29">
        <v>0</v>
      </c>
      <c r="J55" s="28" t="s">
        <v>196</v>
      </c>
      <c r="K55" s="1">
        <f t="shared" ref="K55:K56" si="13">L55+M55+N55+O55+P55</f>
        <v>223308.97000000003</v>
      </c>
      <c r="L55" s="1">
        <v>0</v>
      </c>
      <c r="M55" s="1">
        <v>0</v>
      </c>
      <c r="N55" s="5">
        <v>12690.52</v>
      </c>
      <c r="O55" s="5">
        <v>67349.13</v>
      </c>
      <c r="P55" s="5">
        <v>143269.32</v>
      </c>
      <c r="Q55" s="6">
        <v>0</v>
      </c>
      <c r="R55" s="224"/>
      <c r="S55" s="229"/>
    </row>
    <row r="56" spans="1:19" ht="72.75" customHeight="1" x14ac:dyDescent="0.25">
      <c r="A56" s="232"/>
      <c r="B56" s="224"/>
      <c r="C56" s="224"/>
      <c r="D56" s="224"/>
      <c r="E56" s="224"/>
      <c r="F56" s="224"/>
      <c r="G56" s="224"/>
      <c r="H56" s="233"/>
      <c r="I56" s="29">
        <v>0</v>
      </c>
      <c r="J56" s="28" t="s">
        <v>18</v>
      </c>
      <c r="K56" s="1">
        <f t="shared" si="13"/>
        <v>90164.44</v>
      </c>
      <c r="L56" s="1">
        <v>0</v>
      </c>
      <c r="M56" s="1">
        <v>0</v>
      </c>
      <c r="N56" s="5">
        <v>128.19</v>
      </c>
      <c r="O56" s="5">
        <v>680.3</v>
      </c>
      <c r="P56" s="5">
        <v>89355.95</v>
      </c>
      <c r="Q56" s="6">
        <v>0</v>
      </c>
      <c r="R56" s="224"/>
      <c r="S56" s="229"/>
    </row>
    <row r="57" spans="1:19" ht="27" customHeight="1" x14ac:dyDescent="0.25">
      <c r="A57" s="232">
        <v>16</v>
      </c>
      <c r="B57" s="224" t="s">
        <v>181</v>
      </c>
      <c r="C57" s="224" t="s">
        <v>182</v>
      </c>
      <c r="D57" s="224" t="s">
        <v>183</v>
      </c>
      <c r="E57" s="224" t="s">
        <v>179</v>
      </c>
      <c r="F57" s="224" t="s">
        <v>285</v>
      </c>
      <c r="G57" s="230">
        <v>47087</v>
      </c>
      <c r="H57" s="231">
        <v>45496.73</v>
      </c>
      <c r="I57" s="29">
        <v>0</v>
      </c>
      <c r="J57" s="28" t="s">
        <v>8</v>
      </c>
      <c r="K57" s="1">
        <f t="shared" ref="K57:K59" si="14">P57</f>
        <v>20000</v>
      </c>
      <c r="L57" s="1">
        <v>0</v>
      </c>
      <c r="M57" s="1">
        <v>0</v>
      </c>
      <c r="N57" s="1">
        <v>0</v>
      </c>
      <c r="O57" s="1">
        <v>0</v>
      </c>
      <c r="P57" s="1">
        <v>20000</v>
      </c>
      <c r="Q57" s="1">
        <v>0</v>
      </c>
      <c r="R57" s="224" t="s">
        <v>180</v>
      </c>
    </row>
    <row r="58" spans="1:19" ht="49.5" customHeight="1" x14ac:dyDescent="0.35">
      <c r="A58" s="232"/>
      <c r="B58" s="224"/>
      <c r="C58" s="224"/>
      <c r="D58" s="224"/>
      <c r="E58" s="224"/>
      <c r="F58" s="224"/>
      <c r="G58" s="224"/>
      <c r="H58" s="232"/>
      <c r="I58" s="29">
        <v>0</v>
      </c>
      <c r="J58" s="28" t="s">
        <v>10</v>
      </c>
      <c r="K58" s="1">
        <f t="shared" si="14"/>
        <v>12240</v>
      </c>
      <c r="L58" s="1">
        <v>0</v>
      </c>
      <c r="M58" s="1">
        <v>0</v>
      </c>
      <c r="N58" s="1">
        <v>0</v>
      </c>
      <c r="O58" s="1">
        <v>0</v>
      </c>
      <c r="P58" s="1">
        <v>12240</v>
      </c>
      <c r="Q58" s="1">
        <v>0</v>
      </c>
      <c r="R58" s="224"/>
      <c r="S58" s="81"/>
    </row>
    <row r="59" spans="1:19" ht="74.25" customHeight="1" x14ac:dyDescent="0.25">
      <c r="A59" s="232"/>
      <c r="B59" s="224"/>
      <c r="C59" s="224"/>
      <c r="D59" s="224"/>
      <c r="E59" s="224"/>
      <c r="F59" s="224"/>
      <c r="G59" s="224"/>
      <c r="H59" s="232"/>
      <c r="I59" s="29">
        <v>0</v>
      </c>
      <c r="J59" s="28" t="s">
        <v>11</v>
      </c>
      <c r="K59" s="1">
        <f t="shared" si="14"/>
        <v>7760</v>
      </c>
      <c r="L59" s="1">
        <v>0</v>
      </c>
      <c r="M59" s="1">
        <v>0</v>
      </c>
      <c r="N59" s="1">
        <v>0</v>
      </c>
      <c r="O59" s="1">
        <v>0</v>
      </c>
      <c r="P59" s="1">
        <v>7760</v>
      </c>
      <c r="Q59" s="1">
        <v>0</v>
      </c>
      <c r="R59" s="224"/>
    </row>
    <row r="60" spans="1:19" ht="27" customHeight="1" x14ac:dyDescent="0.25">
      <c r="A60" s="232">
        <v>17</v>
      </c>
      <c r="B60" s="224" t="s">
        <v>476</v>
      </c>
      <c r="C60" s="224" t="s">
        <v>184</v>
      </c>
      <c r="D60" s="215" t="s">
        <v>185</v>
      </c>
      <c r="E60" s="215" t="s">
        <v>179</v>
      </c>
      <c r="F60" s="215" t="s">
        <v>545</v>
      </c>
      <c r="G60" s="218">
        <v>46721</v>
      </c>
      <c r="H60" s="231">
        <v>180485.63</v>
      </c>
      <c r="I60" s="29">
        <v>0</v>
      </c>
      <c r="J60" s="28" t="s">
        <v>8</v>
      </c>
      <c r="K60" s="1">
        <f>P60+N60+O60</f>
        <v>180485.63</v>
      </c>
      <c r="L60" s="1">
        <v>0</v>
      </c>
      <c r="M60" s="1">
        <v>0</v>
      </c>
      <c r="N60" s="1">
        <f>N61+N62</f>
        <v>0</v>
      </c>
      <c r="O60" s="1">
        <f t="shared" ref="O60:P60" si="15">O61+O62</f>
        <v>46602.369999999995</v>
      </c>
      <c r="P60" s="1">
        <f t="shared" si="15"/>
        <v>133883.26</v>
      </c>
      <c r="Q60" s="1">
        <v>0</v>
      </c>
      <c r="R60" s="224" t="s">
        <v>180</v>
      </c>
    </row>
    <row r="61" spans="1:19" ht="49.5" customHeight="1" x14ac:dyDescent="0.35">
      <c r="A61" s="232"/>
      <c r="B61" s="224"/>
      <c r="C61" s="224"/>
      <c r="D61" s="216"/>
      <c r="E61" s="216"/>
      <c r="F61" s="216"/>
      <c r="G61" s="216"/>
      <c r="H61" s="232"/>
      <c r="I61" s="29">
        <v>0</v>
      </c>
      <c r="J61" s="28" t="s">
        <v>10</v>
      </c>
      <c r="K61" s="1">
        <f>P61+N61+O61</f>
        <v>129010.06999999999</v>
      </c>
      <c r="L61" s="1">
        <v>0</v>
      </c>
      <c r="M61" s="1">
        <v>0</v>
      </c>
      <c r="N61" s="1">
        <v>0</v>
      </c>
      <c r="O61" s="1">
        <v>46136.34</v>
      </c>
      <c r="P61" s="1">
        <v>82873.73</v>
      </c>
      <c r="Q61" s="1">
        <v>0</v>
      </c>
      <c r="R61" s="224"/>
      <c r="S61" s="81"/>
    </row>
    <row r="62" spans="1:19" ht="74.25" customHeight="1" x14ac:dyDescent="0.25">
      <c r="A62" s="232"/>
      <c r="B62" s="224"/>
      <c r="C62" s="224"/>
      <c r="D62" s="217"/>
      <c r="E62" s="217"/>
      <c r="F62" s="217"/>
      <c r="G62" s="217"/>
      <c r="H62" s="232"/>
      <c r="I62" s="29">
        <v>0</v>
      </c>
      <c r="J62" s="28" t="s">
        <v>11</v>
      </c>
      <c r="K62" s="1">
        <f>P62+N62+O62</f>
        <v>51475.56</v>
      </c>
      <c r="L62" s="1">
        <v>0</v>
      </c>
      <c r="M62" s="1">
        <v>0</v>
      </c>
      <c r="N62" s="1">
        <v>0</v>
      </c>
      <c r="O62" s="1">
        <v>466.03</v>
      </c>
      <c r="P62" s="1">
        <v>51009.53</v>
      </c>
      <c r="Q62" s="1">
        <v>0</v>
      </c>
      <c r="R62" s="224"/>
    </row>
    <row r="63" spans="1:19" ht="21" customHeight="1" x14ac:dyDescent="0.25">
      <c r="A63" s="232">
        <v>18</v>
      </c>
      <c r="B63" s="224" t="s">
        <v>600</v>
      </c>
      <c r="C63" s="224" t="s">
        <v>184</v>
      </c>
      <c r="D63" s="215" t="s">
        <v>187</v>
      </c>
      <c r="E63" s="215" t="s">
        <v>179</v>
      </c>
      <c r="F63" s="215" t="s">
        <v>285</v>
      </c>
      <c r="G63" s="218">
        <v>47087</v>
      </c>
      <c r="H63" s="231">
        <v>44000</v>
      </c>
      <c r="I63" s="29">
        <v>0</v>
      </c>
      <c r="J63" s="28" t="s">
        <v>8</v>
      </c>
      <c r="K63" s="1">
        <f t="shared" ref="K63:K68" si="16">P63</f>
        <v>22000</v>
      </c>
      <c r="L63" s="1">
        <v>0</v>
      </c>
      <c r="M63" s="1">
        <v>0</v>
      </c>
      <c r="N63" s="1">
        <v>0</v>
      </c>
      <c r="O63" s="1">
        <v>0</v>
      </c>
      <c r="P63" s="1">
        <v>22000</v>
      </c>
      <c r="Q63" s="1">
        <v>0</v>
      </c>
      <c r="R63" s="224" t="s">
        <v>180</v>
      </c>
    </row>
    <row r="64" spans="1:19" ht="36.75" customHeight="1" x14ac:dyDescent="0.35">
      <c r="A64" s="232"/>
      <c r="B64" s="224"/>
      <c r="C64" s="224"/>
      <c r="D64" s="216"/>
      <c r="E64" s="216"/>
      <c r="F64" s="216"/>
      <c r="G64" s="216"/>
      <c r="H64" s="232"/>
      <c r="I64" s="29">
        <v>0</v>
      </c>
      <c r="J64" s="28" t="s">
        <v>10</v>
      </c>
      <c r="K64" s="1">
        <f t="shared" si="16"/>
        <v>13464</v>
      </c>
      <c r="L64" s="1">
        <v>0</v>
      </c>
      <c r="M64" s="1">
        <v>0</v>
      </c>
      <c r="N64" s="1">
        <v>0</v>
      </c>
      <c r="O64" s="1">
        <v>0</v>
      </c>
      <c r="P64" s="1">
        <v>13464</v>
      </c>
      <c r="Q64" s="1">
        <v>0</v>
      </c>
      <c r="R64" s="224"/>
      <c r="S64" s="81"/>
    </row>
    <row r="65" spans="1:19" ht="63" customHeight="1" x14ac:dyDescent="0.25">
      <c r="A65" s="232"/>
      <c r="B65" s="224"/>
      <c r="C65" s="224"/>
      <c r="D65" s="217"/>
      <c r="E65" s="217"/>
      <c r="F65" s="217"/>
      <c r="G65" s="217"/>
      <c r="H65" s="232"/>
      <c r="I65" s="29">
        <v>0</v>
      </c>
      <c r="J65" s="28" t="s">
        <v>11</v>
      </c>
      <c r="K65" s="1">
        <f t="shared" si="16"/>
        <v>8536</v>
      </c>
      <c r="L65" s="1">
        <v>0</v>
      </c>
      <c r="M65" s="1">
        <v>0</v>
      </c>
      <c r="N65" s="1">
        <v>0</v>
      </c>
      <c r="O65" s="1">
        <v>0</v>
      </c>
      <c r="P65" s="1">
        <v>8536</v>
      </c>
      <c r="Q65" s="1">
        <v>0</v>
      </c>
      <c r="R65" s="224"/>
    </row>
    <row r="66" spans="1:19" ht="21" customHeight="1" x14ac:dyDescent="0.25">
      <c r="A66" s="232">
        <v>19</v>
      </c>
      <c r="B66" s="224" t="s">
        <v>477</v>
      </c>
      <c r="C66" s="224" t="s">
        <v>543</v>
      </c>
      <c r="D66" s="215" t="s">
        <v>478</v>
      </c>
      <c r="E66" s="215" t="s">
        <v>179</v>
      </c>
      <c r="F66" s="215" t="s">
        <v>285</v>
      </c>
      <c r="G66" s="218">
        <v>47087</v>
      </c>
      <c r="H66" s="231">
        <v>167660</v>
      </c>
      <c r="I66" s="29">
        <v>0</v>
      </c>
      <c r="J66" s="28" t="s">
        <v>8</v>
      </c>
      <c r="K66" s="1">
        <f t="shared" si="16"/>
        <v>83830</v>
      </c>
      <c r="L66" s="1">
        <v>0</v>
      </c>
      <c r="M66" s="1">
        <v>0</v>
      </c>
      <c r="N66" s="1">
        <v>0</v>
      </c>
      <c r="O66" s="1">
        <v>0</v>
      </c>
      <c r="P66" s="1">
        <f>P67+P68</f>
        <v>83830</v>
      </c>
      <c r="Q66" s="1">
        <v>0</v>
      </c>
      <c r="R66" s="224" t="s">
        <v>180</v>
      </c>
    </row>
    <row r="67" spans="1:19" ht="36.75" customHeight="1" x14ac:dyDescent="0.35">
      <c r="A67" s="232"/>
      <c r="B67" s="224"/>
      <c r="C67" s="224"/>
      <c r="D67" s="216"/>
      <c r="E67" s="216"/>
      <c r="F67" s="216"/>
      <c r="G67" s="216"/>
      <c r="H67" s="232"/>
      <c r="I67" s="29">
        <v>0</v>
      </c>
      <c r="J67" s="28" t="s">
        <v>10</v>
      </c>
      <c r="K67" s="1">
        <f t="shared" si="16"/>
        <v>51890.77</v>
      </c>
      <c r="L67" s="1">
        <v>0</v>
      </c>
      <c r="M67" s="1">
        <v>0</v>
      </c>
      <c r="N67" s="1">
        <v>0</v>
      </c>
      <c r="O67" s="1">
        <v>0</v>
      </c>
      <c r="P67" s="1">
        <v>51890.77</v>
      </c>
      <c r="Q67" s="1">
        <v>0</v>
      </c>
      <c r="R67" s="224"/>
      <c r="S67" s="81"/>
    </row>
    <row r="68" spans="1:19" ht="63" customHeight="1" x14ac:dyDescent="0.25">
      <c r="A68" s="232"/>
      <c r="B68" s="224"/>
      <c r="C68" s="224"/>
      <c r="D68" s="217"/>
      <c r="E68" s="217"/>
      <c r="F68" s="217"/>
      <c r="G68" s="217"/>
      <c r="H68" s="232"/>
      <c r="I68" s="29">
        <v>0</v>
      </c>
      <c r="J68" s="28" t="s">
        <v>11</v>
      </c>
      <c r="K68" s="1">
        <f t="shared" si="16"/>
        <v>31939.23</v>
      </c>
      <c r="L68" s="1">
        <v>0</v>
      </c>
      <c r="M68" s="1">
        <v>0</v>
      </c>
      <c r="N68" s="1">
        <v>0</v>
      </c>
      <c r="O68" s="1">
        <v>0</v>
      </c>
      <c r="P68" s="1">
        <v>31939.23</v>
      </c>
      <c r="Q68" s="1">
        <v>0</v>
      </c>
      <c r="R68" s="224"/>
    </row>
    <row r="69" spans="1:19" ht="33" customHeight="1" x14ac:dyDescent="0.25">
      <c r="A69" s="232">
        <v>20</v>
      </c>
      <c r="B69" s="224" t="s">
        <v>485</v>
      </c>
      <c r="C69" s="224" t="s">
        <v>177</v>
      </c>
      <c r="D69" s="215" t="s">
        <v>178</v>
      </c>
      <c r="E69" s="215" t="s">
        <v>179</v>
      </c>
      <c r="F69" s="215" t="s">
        <v>285</v>
      </c>
      <c r="G69" s="218">
        <v>47087</v>
      </c>
      <c r="H69" s="231">
        <v>124948.37</v>
      </c>
      <c r="I69" s="29">
        <v>0</v>
      </c>
      <c r="J69" s="28" t="s">
        <v>8</v>
      </c>
      <c r="K69" s="1">
        <f t="shared" ref="K69:K70" si="17">P69</f>
        <v>25673.86</v>
      </c>
      <c r="L69" s="1">
        <v>0</v>
      </c>
      <c r="M69" s="1">
        <v>0</v>
      </c>
      <c r="N69" s="1">
        <v>0</v>
      </c>
      <c r="O69" s="1">
        <v>0</v>
      </c>
      <c r="P69" s="1">
        <f>P70+P71</f>
        <v>25673.86</v>
      </c>
      <c r="Q69" s="1">
        <v>0</v>
      </c>
      <c r="R69" s="224" t="s">
        <v>180</v>
      </c>
    </row>
    <row r="70" spans="1:19" ht="46.5" customHeight="1" x14ac:dyDescent="0.35">
      <c r="A70" s="232"/>
      <c r="B70" s="224"/>
      <c r="C70" s="224"/>
      <c r="D70" s="216"/>
      <c r="E70" s="216"/>
      <c r="F70" s="216"/>
      <c r="G70" s="216"/>
      <c r="H70" s="232"/>
      <c r="I70" s="29">
        <v>0</v>
      </c>
      <c r="J70" s="28" t="s">
        <v>10</v>
      </c>
      <c r="K70" s="1">
        <f t="shared" si="17"/>
        <v>15712.4</v>
      </c>
      <c r="L70" s="1">
        <v>0</v>
      </c>
      <c r="M70" s="1">
        <v>0</v>
      </c>
      <c r="N70" s="1">
        <v>0</v>
      </c>
      <c r="O70" s="1">
        <v>0</v>
      </c>
      <c r="P70" s="1">
        <v>15712.4</v>
      </c>
      <c r="Q70" s="1">
        <v>0</v>
      </c>
      <c r="R70" s="224"/>
      <c r="S70" s="81"/>
    </row>
    <row r="71" spans="1:19" ht="87.75" customHeight="1" x14ac:dyDescent="0.25">
      <c r="A71" s="232"/>
      <c r="B71" s="224"/>
      <c r="C71" s="224"/>
      <c r="D71" s="217"/>
      <c r="E71" s="217"/>
      <c r="F71" s="217"/>
      <c r="G71" s="217"/>
      <c r="H71" s="232"/>
      <c r="I71" s="29">
        <v>0</v>
      </c>
      <c r="J71" s="28" t="s">
        <v>11</v>
      </c>
      <c r="K71" s="1">
        <f>P71</f>
        <v>9961.4599999999991</v>
      </c>
      <c r="L71" s="1">
        <v>0</v>
      </c>
      <c r="M71" s="1">
        <v>0</v>
      </c>
      <c r="N71" s="1">
        <v>0</v>
      </c>
      <c r="O71" s="1">
        <v>0</v>
      </c>
      <c r="P71" s="1">
        <v>9961.4599999999991</v>
      </c>
      <c r="Q71" s="1">
        <v>0</v>
      </c>
      <c r="R71" s="224"/>
    </row>
    <row r="72" spans="1:19" ht="33" customHeight="1" x14ac:dyDescent="0.25">
      <c r="A72" s="232">
        <v>21</v>
      </c>
      <c r="B72" s="224" t="s">
        <v>577</v>
      </c>
      <c r="C72" s="224" t="s">
        <v>578</v>
      </c>
      <c r="D72" s="215" t="s">
        <v>579</v>
      </c>
      <c r="E72" s="215" t="s">
        <v>209</v>
      </c>
      <c r="F72" s="215" t="s">
        <v>574</v>
      </c>
      <c r="G72" s="218">
        <v>46356</v>
      </c>
      <c r="H72" s="231">
        <f>K72</f>
        <v>128921.21</v>
      </c>
      <c r="I72" s="29">
        <v>0</v>
      </c>
      <c r="J72" s="28" t="s">
        <v>8</v>
      </c>
      <c r="K72" s="1">
        <f>L72+M72+N72+O72+P72</f>
        <v>128921.21</v>
      </c>
      <c r="L72" s="1">
        <v>0</v>
      </c>
      <c r="M72" s="1">
        <v>0</v>
      </c>
      <c r="N72" s="1">
        <v>0</v>
      </c>
      <c r="O72" s="1">
        <f>O73+O74</f>
        <v>128921.21</v>
      </c>
      <c r="P72" s="1">
        <f>P73+P74</f>
        <v>0</v>
      </c>
      <c r="Q72" s="1">
        <v>0</v>
      </c>
      <c r="R72" s="224" t="s">
        <v>180</v>
      </c>
    </row>
    <row r="73" spans="1:19" ht="46.5" customHeight="1" x14ac:dyDescent="0.35">
      <c r="A73" s="232"/>
      <c r="B73" s="224"/>
      <c r="C73" s="224"/>
      <c r="D73" s="216"/>
      <c r="E73" s="216"/>
      <c r="F73" s="216"/>
      <c r="G73" s="216"/>
      <c r="H73" s="232"/>
      <c r="I73" s="29">
        <v>0</v>
      </c>
      <c r="J73" s="28" t="s">
        <v>10</v>
      </c>
      <c r="K73" s="1">
        <f t="shared" ref="K73:K74" si="18">L73+M73+N73+O73+P73</f>
        <v>80188.990000000005</v>
      </c>
      <c r="L73" s="1">
        <v>0</v>
      </c>
      <c r="M73" s="1">
        <v>0</v>
      </c>
      <c r="N73" s="1">
        <v>0</v>
      </c>
      <c r="O73" s="1">
        <v>80188.990000000005</v>
      </c>
      <c r="P73" s="1">
        <v>0</v>
      </c>
      <c r="Q73" s="1">
        <v>0</v>
      </c>
      <c r="R73" s="224"/>
      <c r="S73" s="81"/>
    </row>
    <row r="74" spans="1:19" ht="87.75" customHeight="1" x14ac:dyDescent="0.25">
      <c r="A74" s="232"/>
      <c r="B74" s="224"/>
      <c r="C74" s="224"/>
      <c r="D74" s="217"/>
      <c r="E74" s="217"/>
      <c r="F74" s="217"/>
      <c r="G74" s="217"/>
      <c r="H74" s="232"/>
      <c r="I74" s="29">
        <v>0</v>
      </c>
      <c r="J74" s="28" t="s">
        <v>11</v>
      </c>
      <c r="K74" s="1">
        <f t="shared" si="18"/>
        <v>48732.22</v>
      </c>
      <c r="L74" s="1">
        <v>0</v>
      </c>
      <c r="M74" s="1">
        <v>0</v>
      </c>
      <c r="N74" s="1">
        <v>0</v>
      </c>
      <c r="O74" s="1">
        <v>48732.22</v>
      </c>
      <c r="P74" s="1">
        <v>0</v>
      </c>
      <c r="Q74" s="1">
        <v>0</v>
      </c>
      <c r="R74" s="224"/>
      <c r="S74" s="80"/>
    </row>
    <row r="75" spans="1:19" ht="32.25" customHeight="1" x14ac:dyDescent="0.35">
      <c r="A75" s="227" t="s">
        <v>240</v>
      </c>
      <c r="B75" s="227"/>
      <c r="C75" s="227"/>
      <c r="D75" s="227"/>
      <c r="E75" s="227"/>
      <c r="F75" s="227"/>
      <c r="G75" s="227"/>
      <c r="H75" s="227"/>
      <c r="I75" s="227"/>
      <c r="J75" s="28" t="s">
        <v>8</v>
      </c>
      <c r="K75" s="1">
        <f>K12+K15+K18+K21+K24+K27+K30+K33+K36+K39+K42+K45+K48+K51+K54+K57+K60+K63+K66+K69+K72</f>
        <v>2411771.11</v>
      </c>
      <c r="L75" s="1">
        <f t="shared" ref="L75:M75" si="19">L12+L15+L18+L21+L24+L27+L30+L33+L36+L39+L42+L45+L48+L51+L54+L57+L60+L63+L66+L69+L72</f>
        <v>960.78</v>
      </c>
      <c r="M75" s="1">
        <f t="shared" si="19"/>
        <v>45649.67</v>
      </c>
      <c r="N75" s="1">
        <f>N12+N15+N18+N21+N24+N27+N30+N33+N36+N39+N42+N45+N48+N51+N54+N57+N60+N63+N66+N69+N72</f>
        <v>143366.62</v>
      </c>
      <c r="O75" s="1">
        <f>O12+O15+O18+O21+O24+O27+O30+O33+O36+O39+O42+O45+O48+O51+O54+O57+O60+O63+O66+O69+O72</f>
        <v>693633.7</v>
      </c>
      <c r="P75" s="1">
        <f>P12+P15+P18+P21+P24+P27+P30+P33+P36+P39+P42+P45+P48+P51+P54+P57+P60+P63+P66+P69+P72</f>
        <v>1528160.3399999999</v>
      </c>
      <c r="Q75" s="1">
        <f t="shared" ref="Q75" si="20">Q12+Q15+Q18+Q21+Q24+Q27+Q30+Q33+Q36+Q39+Q42+Q45+Q48+Q51+Q54+Q57+Q60+Q63+Q66+Q69</f>
        <v>0</v>
      </c>
      <c r="R75" s="224"/>
      <c r="S75" s="82"/>
    </row>
    <row r="76" spans="1:19" ht="44.25" customHeight="1" x14ac:dyDescent="0.25">
      <c r="A76" s="227"/>
      <c r="B76" s="227"/>
      <c r="C76" s="227"/>
      <c r="D76" s="227"/>
      <c r="E76" s="227"/>
      <c r="F76" s="227"/>
      <c r="G76" s="227"/>
      <c r="H76" s="227"/>
      <c r="I76" s="227"/>
      <c r="J76" s="28" t="s">
        <v>10</v>
      </c>
      <c r="K76" s="1">
        <f>K13+K16+K19+K22+K25+K28+K31+K34+K37+K40+K43+K46+K49+K52+K55+K58+K61+K64+K67+K70+K73</f>
        <v>1556825.48</v>
      </c>
      <c r="L76" s="1">
        <f t="shared" ref="L76:P76" si="21">L13+L16+L19+L22+L25+L28+L31+L34+L37+L40+L43+L46+L49+L52+L55+L58+L61+L64+L67+L70+L73</f>
        <v>600.49</v>
      </c>
      <c r="M76" s="1">
        <f t="shared" si="21"/>
        <v>25350</v>
      </c>
      <c r="N76" s="1">
        <f t="shared" si="21"/>
        <v>90637.01</v>
      </c>
      <c r="O76" s="1">
        <f t="shared" si="21"/>
        <v>499398.95999999996</v>
      </c>
      <c r="P76" s="1">
        <f t="shared" si="21"/>
        <v>940839.02000000014</v>
      </c>
      <c r="Q76" s="1">
        <f>Q13+Q16+Q19+Q22+Q25+Q28+Q31+Q34+Q37+Q40+Q43+Q46+Q49+Q52+Q55+Q58+Q61+Q64+Q67+Q70</f>
        <v>0</v>
      </c>
      <c r="R76" s="224"/>
      <c r="S76" s="80"/>
    </row>
    <row r="77" spans="1:19" ht="62.25" customHeight="1" x14ac:dyDescent="0.25">
      <c r="A77" s="227"/>
      <c r="B77" s="227"/>
      <c r="C77" s="227"/>
      <c r="D77" s="227"/>
      <c r="E77" s="227"/>
      <c r="F77" s="227"/>
      <c r="G77" s="227"/>
      <c r="H77" s="227"/>
      <c r="I77" s="227"/>
      <c r="J77" s="28" t="s">
        <v>11</v>
      </c>
      <c r="K77" s="1">
        <f>K14+K17+K20+K23+K26+K29+K32+K35+K38+K41+K44+K47+K50+K53+K56+K59+K62+K65+K68+K71+K74</f>
        <v>854945.62999999989</v>
      </c>
      <c r="L77" s="1">
        <f t="shared" ref="L77:P77" si="22">L14+L17+L20+L23+L26+L29+L32+L35+L38+L41+L44+L47+L50+L53+L56+L59+L62+L65+L68+L71+L74</f>
        <v>360.29</v>
      </c>
      <c r="M77" s="1">
        <f t="shared" si="22"/>
        <v>20299.669999999998</v>
      </c>
      <c r="N77" s="1">
        <f t="shared" si="22"/>
        <v>52729.61</v>
      </c>
      <c r="O77" s="1">
        <f t="shared" si="22"/>
        <v>194234.74</v>
      </c>
      <c r="P77" s="1">
        <f t="shared" si="22"/>
        <v>587321.31999999995</v>
      </c>
      <c r="Q77" s="1">
        <f>Q14+Q17+Q20+Q23+Q26+Q29+Q32+Q35+Q38+Q41+Q44+Q47+Q50+Q53+Q56+Q59+Q62+Q65+Q68+Q71</f>
        <v>0</v>
      </c>
      <c r="R77" s="224"/>
    </row>
    <row r="78" spans="1:19" ht="33" customHeight="1" x14ac:dyDescent="0.25">
      <c r="A78" s="228" t="s">
        <v>70</v>
      </c>
      <c r="B78" s="228"/>
      <c r="C78" s="228"/>
      <c r="D78" s="228"/>
      <c r="E78" s="228"/>
      <c r="F78" s="228"/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</row>
    <row r="79" spans="1:19" ht="25.5" customHeight="1" x14ac:dyDescent="0.35">
      <c r="A79" s="232">
        <v>1</v>
      </c>
      <c r="B79" s="224" t="s">
        <v>581</v>
      </c>
      <c r="C79" s="224" t="s">
        <v>544</v>
      </c>
      <c r="D79" s="224" t="s">
        <v>462</v>
      </c>
      <c r="E79" s="224" t="s">
        <v>460</v>
      </c>
      <c r="F79" s="224" t="s">
        <v>574</v>
      </c>
      <c r="G79" s="230">
        <v>46356</v>
      </c>
      <c r="H79" s="233">
        <f>K79</f>
        <v>104516.67</v>
      </c>
      <c r="I79" s="1">
        <f>I80+I81</f>
        <v>0</v>
      </c>
      <c r="J79" s="4" t="s">
        <v>14</v>
      </c>
      <c r="K79" s="1">
        <f t="shared" ref="K79:K81" si="23">L79+M79+N79+O79+P79</f>
        <v>104516.67</v>
      </c>
      <c r="L79" s="1">
        <f>L80+L81</f>
        <v>0</v>
      </c>
      <c r="M79" s="1">
        <f t="shared" ref="M79:N79" si="24">M80+M81</f>
        <v>0</v>
      </c>
      <c r="N79" s="1">
        <f t="shared" si="24"/>
        <v>0</v>
      </c>
      <c r="O79" s="1">
        <f t="shared" ref="O79" si="25">O80+O81</f>
        <v>104516.67</v>
      </c>
      <c r="P79" s="1">
        <f>P80+P81</f>
        <v>0</v>
      </c>
      <c r="Q79" s="6">
        <v>0</v>
      </c>
      <c r="R79" s="224" t="s">
        <v>180</v>
      </c>
      <c r="S79" s="81"/>
    </row>
    <row r="80" spans="1:19" ht="45.75" customHeight="1" x14ac:dyDescent="0.35">
      <c r="A80" s="232"/>
      <c r="B80" s="224"/>
      <c r="C80" s="224"/>
      <c r="D80" s="224"/>
      <c r="E80" s="224"/>
      <c r="F80" s="224"/>
      <c r="G80" s="230"/>
      <c r="H80" s="233"/>
      <c r="I80" s="1">
        <v>0</v>
      </c>
      <c r="J80" s="28" t="s">
        <v>196</v>
      </c>
      <c r="K80" s="1">
        <f t="shared" si="23"/>
        <v>103471.5</v>
      </c>
      <c r="L80" s="6">
        <v>0</v>
      </c>
      <c r="M80" s="6">
        <v>0</v>
      </c>
      <c r="N80" s="1">
        <v>0</v>
      </c>
      <c r="O80" s="1">
        <f>99000+4471.5</f>
        <v>103471.5</v>
      </c>
      <c r="P80" s="1">
        <v>0</v>
      </c>
      <c r="Q80" s="6">
        <v>0</v>
      </c>
      <c r="R80" s="224"/>
      <c r="S80" s="81"/>
    </row>
    <row r="81" spans="1:19" ht="64.5" customHeight="1" x14ac:dyDescent="0.35">
      <c r="A81" s="232"/>
      <c r="B81" s="224"/>
      <c r="C81" s="224"/>
      <c r="D81" s="224"/>
      <c r="E81" s="224"/>
      <c r="F81" s="224"/>
      <c r="G81" s="230"/>
      <c r="H81" s="233"/>
      <c r="I81" s="29">
        <v>0</v>
      </c>
      <c r="J81" s="28" t="s">
        <v>18</v>
      </c>
      <c r="K81" s="1">
        <f t="shared" si="23"/>
        <v>1045.17</v>
      </c>
      <c r="L81" s="1">
        <v>0</v>
      </c>
      <c r="M81" s="1">
        <v>0</v>
      </c>
      <c r="N81" s="5">
        <v>0</v>
      </c>
      <c r="O81" s="5">
        <f>1000+45.17</f>
        <v>1045.17</v>
      </c>
      <c r="P81" s="5">
        <v>0</v>
      </c>
      <c r="Q81" s="6">
        <v>0</v>
      </c>
      <c r="R81" s="224"/>
      <c r="S81" s="81"/>
    </row>
    <row r="82" spans="1:19" ht="25.5" customHeight="1" x14ac:dyDescent="0.35">
      <c r="A82" s="232">
        <v>2</v>
      </c>
      <c r="B82" s="224" t="s">
        <v>461</v>
      </c>
      <c r="C82" s="224" t="s">
        <v>546</v>
      </c>
      <c r="D82" s="224" t="s">
        <v>463</v>
      </c>
      <c r="E82" s="224" t="s">
        <v>460</v>
      </c>
      <c r="F82" s="224" t="s">
        <v>545</v>
      </c>
      <c r="G82" s="230">
        <v>46721</v>
      </c>
      <c r="H82" s="233">
        <f>K82</f>
        <v>80000</v>
      </c>
      <c r="I82" s="1">
        <f>I83+I84</f>
        <v>0</v>
      </c>
      <c r="J82" s="4" t="s">
        <v>14</v>
      </c>
      <c r="K82" s="1">
        <f t="shared" ref="K82:K84" si="26">L82+M82+N82+O82+P82</f>
        <v>80000</v>
      </c>
      <c r="L82" s="1">
        <f>L83+L84</f>
        <v>0</v>
      </c>
      <c r="M82" s="1">
        <f t="shared" ref="M82:N82" si="27">M83+M84</f>
        <v>0</v>
      </c>
      <c r="N82" s="1">
        <f t="shared" si="27"/>
        <v>0</v>
      </c>
      <c r="O82" s="1">
        <f t="shared" ref="O82:P82" si="28">O83+O84</f>
        <v>40000</v>
      </c>
      <c r="P82" s="1">
        <f t="shared" si="28"/>
        <v>40000</v>
      </c>
      <c r="Q82" s="6">
        <v>0</v>
      </c>
      <c r="R82" s="224" t="s">
        <v>180</v>
      </c>
      <c r="S82" s="81"/>
    </row>
    <row r="83" spans="1:19" ht="45.75" customHeight="1" x14ac:dyDescent="0.35">
      <c r="A83" s="232"/>
      <c r="B83" s="224"/>
      <c r="C83" s="224"/>
      <c r="D83" s="224"/>
      <c r="E83" s="224"/>
      <c r="F83" s="224"/>
      <c r="G83" s="230"/>
      <c r="H83" s="233"/>
      <c r="I83" s="1">
        <v>0</v>
      </c>
      <c r="J83" s="28" t="s">
        <v>196</v>
      </c>
      <c r="K83" s="1">
        <f>L83+M83+N83+O83+P83</f>
        <v>64560</v>
      </c>
      <c r="L83" s="6">
        <v>0</v>
      </c>
      <c r="M83" s="6">
        <v>0</v>
      </c>
      <c r="N83" s="1">
        <v>0</v>
      </c>
      <c r="O83" s="1">
        <v>39600</v>
      </c>
      <c r="P83" s="1">
        <v>24960</v>
      </c>
      <c r="Q83" s="6">
        <v>0</v>
      </c>
      <c r="R83" s="224"/>
      <c r="S83" s="81"/>
    </row>
    <row r="84" spans="1:19" ht="64.5" customHeight="1" x14ac:dyDescent="0.35">
      <c r="A84" s="232"/>
      <c r="B84" s="224"/>
      <c r="C84" s="224"/>
      <c r="D84" s="224"/>
      <c r="E84" s="224"/>
      <c r="F84" s="224"/>
      <c r="G84" s="230"/>
      <c r="H84" s="233"/>
      <c r="I84" s="29">
        <v>0</v>
      </c>
      <c r="J84" s="28" t="s">
        <v>18</v>
      </c>
      <c r="K84" s="1">
        <f t="shared" si="26"/>
        <v>15440</v>
      </c>
      <c r="L84" s="1">
        <v>0</v>
      </c>
      <c r="M84" s="1">
        <v>0</v>
      </c>
      <c r="N84" s="5">
        <v>0</v>
      </c>
      <c r="O84" s="5">
        <v>400</v>
      </c>
      <c r="P84" s="1">
        <v>15040</v>
      </c>
      <c r="Q84" s="6">
        <v>0</v>
      </c>
      <c r="R84" s="224"/>
      <c r="S84" s="81"/>
    </row>
    <row r="85" spans="1:19" ht="44.25" customHeight="1" x14ac:dyDescent="0.35">
      <c r="A85" s="232">
        <v>3</v>
      </c>
      <c r="B85" s="224" t="s">
        <v>495</v>
      </c>
      <c r="C85" s="224" t="s">
        <v>284</v>
      </c>
      <c r="D85" s="224" t="s">
        <v>411</v>
      </c>
      <c r="E85" s="224" t="s">
        <v>460</v>
      </c>
      <c r="F85" s="224" t="s">
        <v>486</v>
      </c>
      <c r="G85" s="230">
        <v>46721</v>
      </c>
      <c r="H85" s="233">
        <f>K85</f>
        <v>108340</v>
      </c>
      <c r="I85" s="1">
        <f>I86+I87</f>
        <v>0</v>
      </c>
      <c r="J85" s="4" t="s">
        <v>14</v>
      </c>
      <c r="K85" s="1">
        <f t="shared" ref="K85" si="29">L85+M85+N85+O85+P85</f>
        <v>108340</v>
      </c>
      <c r="L85" s="1">
        <f>L86+L87</f>
        <v>0</v>
      </c>
      <c r="M85" s="1">
        <f t="shared" ref="M85:P85" si="30">M86+M87</f>
        <v>0</v>
      </c>
      <c r="N85" s="1">
        <f t="shared" si="30"/>
        <v>0</v>
      </c>
      <c r="O85" s="1">
        <f t="shared" si="30"/>
        <v>0</v>
      </c>
      <c r="P85" s="1">
        <f t="shared" si="30"/>
        <v>108340</v>
      </c>
      <c r="Q85" s="6">
        <v>0</v>
      </c>
      <c r="R85" s="224" t="s">
        <v>180</v>
      </c>
      <c r="S85" s="81"/>
    </row>
    <row r="86" spans="1:19" ht="54" customHeight="1" x14ac:dyDescent="0.35">
      <c r="A86" s="232"/>
      <c r="B86" s="224"/>
      <c r="C86" s="224"/>
      <c r="D86" s="224"/>
      <c r="E86" s="224"/>
      <c r="F86" s="224"/>
      <c r="G86" s="230"/>
      <c r="H86" s="233"/>
      <c r="I86" s="1">
        <v>0</v>
      </c>
      <c r="J86" s="28" t="s">
        <v>196</v>
      </c>
      <c r="K86" s="1">
        <f>L86+M86+N86+O86+P86</f>
        <v>67604.160000000003</v>
      </c>
      <c r="L86" s="6">
        <v>0</v>
      </c>
      <c r="M86" s="6">
        <v>0</v>
      </c>
      <c r="N86" s="1">
        <v>0</v>
      </c>
      <c r="O86" s="1">
        <v>0</v>
      </c>
      <c r="P86" s="1">
        <v>67604.160000000003</v>
      </c>
      <c r="Q86" s="6">
        <v>0</v>
      </c>
      <c r="R86" s="224"/>
      <c r="S86" s="81"/>
    </row>
    <row r="87" spans="1:19" ht="74.25" customHeight="1" x14ac:dyDescent="0.35">
      <c r="A87" s="232"/>
      <c r="B87" s="224"/>
      <c r="C87" s="224"/>
      <c r="D87" s="224"/>
      <c r="E87" s="224"/>
      <c r="F87" s="224"/>
      <c r="G87" s="230"/>
      <c r="H87" s="233"/>
      <c r="I87" s="29">
        <v>0</v>
      </c>
      <c r="J87" s="28" t="s">
        <v>18</v>
      </c>
      <c r="K87" s="1">
        <f t="shared" ref="K87" si="31">L87+M87+N87+O87+P87</f>
        <v>40735.839999999997</v>
      </c>
      <c r="L87" s="1">
        <v>0</v>
      </c>
      <c r="M87" s="1">
        <v>0</v>
      </c>
      <c r="N87" s="5">
        <v>0</v>
      </c>
      <c r="O87" s="5">
        <v>0</v>
      </c>
      <c r="P87" s="5">
        <v>40735.839999999997</v>
      </c>
      <c r="Q87" s="6">
        <v>0</v>
      </c>
      <c r="R87" s="224"/>
      <c r="S87" s="81"/>
    </row>
    <row r="88" spans="1:19" ht="32.25" customHeight="1" x14ac:dyDescent="0.25">
      <c r="A88" s="240" t="s">
        <v>459</v>
      </c>
      <c r="B88" s="241"/>
      <c r="C88" s="241"/>
      <c r="D88" s="241"/>
      <c r="E88" s="241"/>
      <c r="F88" s="241"/>
      <c r="G88" s="241"/>
      <c r="H88" s="241"/>
      <c r="I88" s="242"/>
      <c r="J88" s="28" t="s">
        <v>8</v>
      </c>
      <c r="K88" s="1">
        <f>K79+K82+K85</f>
        <v>292856.67</v>
      </c>
      <c r="L88" s="1">
        <f t="shared" ref="L88:Q88" si="32">L79</f>
        <v>0</v>
      </c>
      <c r="M88" s="1">
        <f t="shared" si="32"/>
        <v>0</v>
      </c>
      <c r="N88" s="1">
        <f>N79+N82</f>
        <v>0</v>
      </c>
      <c r="O88" s="1">
        <f>O79+O82</f>
        <v>144516.66999999998</v>
      </c>
      <c r="P88" s="1">
        <f>P79+P82+P85</f>
        <v>148340</v>
      </c>
      <c r="Q88" s="1">
        <f t="shared" si="32"/>
        <v>0</v>
      </c>
      <c r="R88" s="215"/>
    </row>
    <row r="89" spans="1:19" ht="40.5" customHeight="1" x14ac:dyDescent="0.25">
      <c r="A89" s="243"/>
      <c r="B89" s="244"/>
      <c r="C89" s="244"/>
      <c r="D89" s="244"/>
      <c r="E89" s="244"/>
      <c r="F89" s="244"/>
      <c r="G89" s="244"/>
      <c r="H89" s="244"/>
      <c r="I89" s="245"/>
      <c r="J89" s="28" t="s">
        <v>10</v>
      </c>
      <c r="K89" s="1">
        <f t="shared" ref="K89:K90" si="33">K80+K83+K86</f>
        <v>235635.66</v>
      </c>
      <c r="L89" s="1">
        <f t="shared" ref="L89:Q89" si="34">L80</f>
        <v>0</v>
      </c>
      <c r="M89" s="1">
        <f t="shared" si="34"/>
        <v>0</v>
      </c>
      <c r="N89" s="1">
        <f t="shared" ref="N89:O89" si="35">N80+N83</f>
        <v>0</v>
      </c>
      <c r="O89" s="1">
        <f t="shared" si="35"/>
        <v>143071.5</v>
      </c>
      <c r="P89" s="1">
        <f t="shared" ref="P89:P90" si="36">P80+P83+P86</f>
        <v>92564.160000000003</v>
      </c>
      <c r="Q89" s="1">
        <f t="shared" si="34"/>
        <v>0</v>
      </c>
      <c r="R89" s="216"/>
    </row>
    <row r="90" spans="1:19" ht="60" customHeight="1" x14ac:dyDescent="0.25">
      <c r="A90" s="246"/>
      <c r="B90" s="247"/>
      <c r="C90" s="247"/>
      <c r="D90" s="247"/>
      <c r="E90" s="247"/>
      <c r="F90" s="247"/>
      <c r="G90" s="247"/>
      <c r="H90" s="247"/>
      <c r="I90" s="248"/>
      <c r="J90" s="28" t="s">
        <v>11</v>
      </c>
      <c r="K90" s="1">
        <f t="shared" si="33"/>
        <v>57221.009999999995</v>
      </c>
      <c r="L90" s="1">
        <f t="shared" ref="L90:Q90" si="37">L81</f>
        <v>0</v>
      </c>
      <c r="M90" s="1">
        <f t="shared" si="37"/>
        <v>0</v>
      </c>
      <c r="N90" s="1">
        <f t="shared" ref="N90:O90" si="38">N81+N84</f>
        <v>0</v>
      </c>
      <c r="O90" s="1">
        <f t="shared" si="38"/>
        <v>1445.17</v>
      </c>
      <c r="P90" s="1">
        <f t="shared" si="36"/>
        <v>55775.839999999997</v>
      </c>
      <c r="Q90" s="1">
        <f t="shared" si="37"/>
        <v>0</v>
      </c>
      <c r="R90" s="217"/>
    </row>
    <row r="91" spans="1:19" ht="33" customHeight="1" x14ac:dyDescent="0.25">
      <c r="A91" s="228" t="s">
        <v>99</v>
      </c>
      <c r="B91" s="228"/>
      <c r="C91" s="228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</row>
    <row r="92" spans="1:19" ht="25.5" customHeight="1" x14ac:dyDescent="0.25">
      <c r="A92" s="232">
        <v>1</v>
      </c>
      <c r="B92" s="224" t="s">
        <v>206</v>
      </c>
      <c r="C92" s="224" t="s">
        <v>207</v>
      </c>
      <c r="D92" s="224" t="s">
        <v>208</v>
      </c>
      <c r="E92" s="224" t="s">
        <v>209</v>
      </c>
      <c r="F92" s="224" t="s">
        <v>396</v>
      </c>
      <c r="G92" s="230">
        <v>45412</v>
      </c>
      <c r="H92" s="233">
        <f>I94+M94</f>
        <v>16672.55</v>
      </c>
      <c r="I92" s="1">
        <f>I93+I94</f>
        <v>14701.768</v>
      </c>
      <c r="J92" s="4" t="s">
        <v>14</v>
      </c>
      <c r="K92" s="1">
        <f t="shared" ref="K92:K94" si="39">L92+M92+N92+O92+P92</f>
        <v>3941.5639999999999</v>
      </c>
      <c r="L92" s="1">
        <f>L93+L94</f>
        <v>1970.7819999999999</v>
      </c>
      <c r="M92" s="1">
        <f t="shared" ref="M92:P92" si="40">M93+M94</f>
        <v>1970.7819999999999</v>
      </c>
      <c r="N92" s="1">
        <f t="shared" si="40"/>
        <v>0</v>
      </c>
      <c r="O92" s="1">
        <f t="shared" si="40"/>
        <v>0</v>
      </c>
      <c r="P92" s="1">
        <f t="shared" si="40"/>
        <v>0</v>
      </c>
      <c r="Q92" s="6">
        <v>0</v>
      </c>
      <c r="R92" s="215" t="s">
        <v>180</v>
      </c>
    </row>
    <row r="93" spans="1:19" ht="45.75" customHeight="1" x14ac:dyDescent="0.25">
      <c r="A93" s="232"/>
      <c r="B93" s="224"/>
      <c r="C93" s="224"/>
      <c r="D93" s="224"/>
      <c r="E93" s="224"/>
      <c r="F93" s="224"/>
      <c r="G93" s="230"/>
      <c r="H93" s="233"/>
      <c r="I93" s="1">
        <v>0</v>
      </c>
      <c r="J93" s="28" t="s">
        <v>196</v>
      </c>
      <c r="K93" s="1">
        <f t="shared" si="39"/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216"/>
    </row>
    <row r="94" spans="1:19" ht="64.5" customHeight="1" x14ac:dyDescent="0.25">
      <c r="A94" s="232"/>
      <c r="B94" s="224"/>
      <c r="C94" s="224"/>
      <c r="D94" s="224"/>
      <c r="E94" s="224"/>
      <c r="F94" s="224"/>
      <c r="G94" s="230"/>
      <c r="H94" s="233"/>
      <c r="I94" s="29">
        <v>14701.768</v>
      </c>
      <c r="J94" s="28" t="s">
        <v>18</v>
      </c>
      <c r="K94" s="1">
        <f t="shared" si="39"/>
        <v>3941.5639999999999</v>
      </c>
      <c r="L94" s="1">
        <v>1970.7819999999999</v>
      </c>
      <c r="M94" s="1">
        <v>1970.7819999999999</v>
      </c>
      <c r="N94" s="5">
        <v>0</v>
      </c>
      <c r="O94" s="5">
        <v>0</v>
      </c>
      <c r="P94" s="5">
        <v>0</v>
      </c>
      <c r="Q94" s="6">
        <v>0</v>
      </c>
      <c r="R94" s="217"/>
    </row>
    <row r="95" spans="1:19" ht="32.25" customHeight="1" x14ac:dyDescent="0.25">
      <c r="A95" s="240" t="s">
        <v>241</v>
      </c>
      <c r="B95" s="241"/>
      <c r="C95" s="241"/>
      <c r="D95" s="241"/>
      <c r="E95" s="241"/>
      <c r="F95" s="241"/>
      <c r="G95" s="241"/>
      <c r="H95" s="241"/>
      <c r="I95" s="242"/>
      <c r="J95" s="28" t="s">
        <v>8</v>
      </c>
      <c r="K95" s="1">
        <f t="shared" ref="K95:Q97" si="41">K92</f>
        <v>3941.5639999999999</v>
      </c>
      <c r="L95" s="1">
        <f t="shared" si="41"/>
        <v>1970.7819999999999</v>
      </c>
      <c r="M95" s="1">
        <f t="shared" si="41"/>
        <v>1970.7819999999999</v>
      </c>
      <c r="N95" s="1">
        <f t="shared" si="41"/>
        <v>0</v>
      </c>
      <c r="O95" s="1">
        <f t="shared" si="41"/>
        <v>0</v>
      </c>
      <c r="P95" s="1">
        <f t="shared" si="41"/>
        <v>0</v>
      </c>
      <c r="Q95" s="1">
        <f>Q11+Q15+Q19+Q23+Q24+Q28+Q32+Q91</f>
        <v>0</v>
      </c>
      <c r="R95" s="215"/>
    </row>
    <row r="96" spans="1:19" ht="40.5" customHeight="1" x14ac:dyDescent="0.25">
      <c r="A96" s="243"/>
      <c r="B96" s="244"/>
      <c r="C96" s="244"/>
      <c r="D96" s="244"/>
      <c r="E96" s="244"/>
      <c r="F96" s="244"/>
      <c r="G96" s="244"/>
      <c r="H96" s="244"/>
      <c r="I96" s="245"/>
      <c r="J96" s="28" t="s">
        <v>10</v>
      </c>
      <c r="K96" s="1">
        <f t="shared" si="41"/>
        <v>0</v>
      </c>
      <c r="L96" s="1">
        <f t="shared" si="41"/>
        <v>0</v>
      </c>
      <c r="M96" s="1">
        <f t="shared" si="41"/>
        <v>0</v>
      </c>
      <c r="N96" s="1">
        <f t="shared" si="41"/>
        <v>0</v>
      </c>
      <c r="O96" s="1">
        <f t="shared" si="41"/>
        <v>0</v>
      </c>
      <c r="P96" s="1">
        <f t="shared" si="41"/>
        <v>0</v>
      </c>
      <c r="Q96" s="1">
        <f t="shared" si="41"/>
        <v>0</v>
      </c>
      <c r="R96" s="216"/>
    </row>
    <row r="97" spans="1:19" ht="60" customHeight="1" x14ac:dyDescent="0.25">
      <c r="A97" s="246"/>
      <c r="B97" s="247"/>
      <c r="C97" s="247"/>
      <c r="D97" s="247"/>
      <c r="E97" s="247"/>
      <c r="F97" s="247"/>
      <c r="G97" s="247"/>
      <c r="H97" s="247"/>
      <c r="I97" s="248"/>
      <c r="J97" s="28" t="s">
        <v>11</v>
      </c>
      <c r="K97" s="1">
        <f t="shared" si="41"/>
        <v>3941.5639999999999</v>
      </c>
      <c r="L97" s="1">
        <f t="shared" si="41"/>
        <v>1970.7819999999999</v>
      </c>
      <c r="M97" s="1">
        <f t="shared" si="41"/>
        <v>1970.7819999999999</v>
      </c>
      <c r="N97" s="1">
        <f t="shared" si="41"/>
        <v>0</v>
      </c>
      <c r="O97" s="1">
        <f t="shared" si="41"/>
        <v>0</v>
      </c>
      <c r="P97" s="1">
        <f t="shared" si="41"/>
        <v>0</v>
      </c>
      <c r="Q97" s="1">
        <f t="shared" si="41"/>
        <v>0</v>
      </c>
      <c r="R97" s="217"/>
    </row>
    <row r="98" spans="1:19" ht="21" customHeight="1" x14ac:dyDescent="0.3">
      <c r="A98" s="235" t="s">
        <v>132</v>
      </c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</row>
    <row r="99" spans="1:19" ht="23.25" customHeight="1" x14ac:dyDescent="0.3">
      <c r="A99" s="235" t="s">
        <v>72</v>
      </c>
      <c r="B99" s="260"/>
      <c r="C99" s="260"/>
      <c r="D99" s="260"/>
      <c r="E99" s="260"/>
      <c r="F99" s="260"/>
      <c r="G99" s="260"/>
      <c r="H99" s="260"/>
      <c r="I99" s="260"/>
      <c r="J99" s="235"/>
      <c r="K99" s="235"/>
      <c r="L99" s="235"/>
      <c r="M99" s="235"/>
      <c r="N99" s="235"/>
      <c r="O99" s="235"/>
      <c r="P99" s="235"/>
      <c r="Q99" s="235"/>
      <c r="R99" s="235"/>
    </row>
    <row r="100" spans="1:19" ht="30" customHeight="1" x14ac:dyDescent="0.25">
      <c r="A100" s="224">
        <v>1</v>
      </c>
      <c r="B100" s="224" t="s">
        <v>60</v>
      </c>
      <c r="C100" s="224" t="s">
        <v>284</v>
      </c>
      <c r="D100" s="224" t="s">
        <v>194</v>
      </c>
      <c r="E100" s="224" t="s">
        <v>210</v>
      </c>
      <c r="F100" s="224" t="s">
        <v>550</v>
      </c>
      <c r="G100" s="230">
        <v>47117</v>
      </c>
      <c r="H100" s="233">
        <v>343685.01</v>
      </c>
      <c r="I100" s="1">
        <v>7554.99</v>
      </c>
      <c r="J100" s="28" t="s">
        <v>14</v>
      </c>
      <c r="K100" s="29">
        <f>K101+K102</f>
        <v>302347.56</v>
      </c>
      <c r="L100" s="29">
        <f t="shared" ref="L100:M100" si="42">L101+L102</f>
        <v>60000</v>
      </c>
      <c r="M100" s="29">
        <f t="shared" si="42"/>
        <v>62021.54</v>
      </c>
      <c r="N100" s="5">
        <f>N101+N102</f>
        <v>0</v>
      </c>
      <c r="O100" s="5">
        <f>O101+O102</f>
        <v>0</v>
      </c>
      <c r="P100" s="5">
        <f>P101+P102</f>
        <v>180326.02</v>
      </c>
      <c r="Q100" s="29">
        <v>0</v>
      </c>
      <c r="R100" s="224" t="s">
        <v>180</v>
      </c>
    </row>
    <row r="101" spans="1:19" ht="40.5" customHeight="1" x14ac:dyDescent="0.35">
      <c r="A101" s="224"/>
      <c r="B101" s="224"/>
      <c r="C101" s="224"/>
      <c r="D101" s="224"/>
      <c r="E101" s="224"/>
      <c r="F101" s="224"/>
      <c r="G101" s="224"/>
      <c r="H101" s="233"/>
      <c r="I101" s="1">
        <v>4721.87</v>
      </c>
      <c r="J101" s="28" t="s">
        <v>196</v>
      </c>
      <c r="K101" s="29">
        <f>L101+M101+N101+O101+P101</f>
        <v>190214.03999999998</v>
      </c>
      <c r="L101" s="29">
        <v>37500</v>
      </c>
      <c r="M101" s="29">
        <v>0</v>
      </c>
      <c r="N101" s="5">
        <v>0</v>
      </c>
      <c r="O101" s="5">
        <v>0</v>
      </c>
      <c r="P101" s="5">
        <f>44193+108521.04</f>
        <v>152714.03999999998</v>
      </c>
      <c r="Q101" s="29">
        <v>0</v>
      </c>
      <c r="R101" s="224"/>
      <c r="S101" s="81"/>
    </row>
    <row r="102" spans="1:19" ht="65.25" customHeight="1" x14ac:dyDescent="0.25">
      <c r="A102" s="224"/>
      <c r="B102" s="224"/>
      <c r="C102" s="224"/>
      <c r="D102" s="224"/>
      <c r="E102" s="224"/>
      <c r="F102" s="224"/>
      <c r="G102" s="224"/>
      <c r="H102" s="233"/>
      <c r="I102" s="1">
        <v>2833.12</v>
      </c>
      <c r="J102" s="28" t="s">
        <v>18</v>
      </c>
      <c r="K102" s="29">
        <f t="shared" ref="K102:K122" si="43">SUM(L102:P102)</f>
        <v>112133.52</v>
      </c>
      <c r="L102" s="29">
        <v>22500</v>
      </c>
      <c r="M102" s="29">
        <v>62021.54</v>
      </c>
      <c r="N102" s="5">
        <v>0</v>
      </c>
      <c r="O102" s="5">
        <v>0</v>
      </c>
      <c r="P102" s="5">
        <f>26515.8+1096.18</f>
        <v>27611.98</v>
      </c>
      <c r="Q102" s="29">
        <v>0</v>
      </c>
      <c r="R102" s="224"/>
    </row>
    <row r="103" spans="1:19" ht="30" customHeight="1" x14ac:dyDescent="0.25">
      <c r="A103" s="224">
        <v>2</v>
      </c>
      <c r="B103" s="224" t="s">
        <v>123</v>
      </c>
      <c r="C103" s="224" t="s">
        <v>108</v>
      </c>
      <c r="D103" s="224" t="s">
        <v>194</v>
      </c>
      <c r="E103" s="224" t="s">
        <v>210</v>
      </c>
      <c r="F103" s="224" t="s">
        <v>195</v>
      </c>
      <c r="G103" s="230">
        <v>45626</v>
      </c>
      <c r="H103" s="233">
        <f>K103+I103</f>
        <v>0.182</v>
      </c>
      <c r="I103" s="1">
        <v>0</v>
      </c>
      <c r="J103" s="28" t="s">
        <v>14</v>
      </c>
      <c r="K103" s="29">
        <f>K104+K105</f>
        <v>0.182</v>
      </c>
      <c r="L103" s="29">
        <f t="shared" ref="L103:M103" si="44">L104+L105</f>
        <v>0.182</v>
      </c>
      <c r="M103" s="29">
        <f t="shared" si="44"/>
        <v>0</v>
      </c>
      <c r="N103" s="5">
        <f>N104+N105</f>
        <v>0</v>
      </c>
      <c r="O103" s="5">
        <f>O104+O105</f>
        <v>0</v>
      </c>
      <c r="P103" s="5">
        <f>P104+P105</f>
        <v>0</v>
      </c>
      <c r="Q103" s="29">
        <v>0</v>
      </c>
      <c r="R103" s="224" t="s">
        <v>180</v>
      </c>
    </row>
    <row r="104" spans="1:19" ht="40.5" customHeight="1" x14ac:dyDescent="0.25">
      <c r="A104" s="224"/>
      <c r="B104" s="224"/>
      <c r="C104" s="224"/>
      <c r="D104" s="224"/>
      <c r="E104" s="224"/>
      <c r="F104" s="224"/>
      <c r="G104" s="224"/>
      <c r="H104" s="233"/>
      <c r="I104" s="1">
        <v>0</v>
      </c>
      <c r="J104" s="28" t="s">
        <v>196</v>
      </c>
      <c r="K104" s="29">
        <f>L104+M104+N104+O104+P104</f>
        <v>0</v>
      </c>
      <c r="L104" s="29">
        <v>0</v>
      </c>
      <c r="M104" s="29">
        <v>0</v>
      </c>
      <c r="N104" s="5">
        <v>0</v>
      </c>
      <c r="O104" s="5">
        <v>0</v>
      </c>
      <c r="P104" s="5">
        <v>0</v>
      </c>
      <c r="Q104" s="29">
        <v>0</v>
      </c>
      <c r="R104" s="224"/>
    </row>
    <row r="105" spans="1:19" ht="65.25" customHeight="1" x14ac:dyDescent="0.25">
      <c r="A105" s="224"/>
      <c r="B105" s="224"/>
      <c r="C105" s="224"/>
      <c r="D105" s="224"/>
      <c r="E105" s="224"/>
      <c r="F105" s="224"/>
      <c r="G105" s="224"/>
      <c r="H105" s="233"/>
      <c r="I105" s="1">
        <v>0</v>
      </c>
      <c r="J105" s="28" t="s">
        <v>18</v>
      </c>
      <c r="K105" s="29">
        <f t="shared" ref="K105" si="45">SUM(L105:P105)</f>
        <v>0.182</v>
      </c>
      <c r="L105" s="29">
        <v>0.182</v>
      </c>
      <c r="M105" s="29">
        <v>0</v>
      </c>
      <c r="N105" s="5">
        <v>0</v>
      </c>
      <c r="O105" s="5">
        <v>0</v>
      </c>
      <c r="P105" s="5">
        <v>0</v>
      </c>
      <c r="Q105" s="29">
        <v>0</v>
      </c>
      <c r="R105" s="224"/>
    </row>
    <row r="106" spans="1:19" ht="40.5" customHeight="1" x14ac:dyDescent="0.25">
      <c r="A106" s="224">
        <v>3</v>
      </c>
      <c r="B106" s="224" t="s">
        <v>64</v>
      </c>
      <c r="C106" s="224" t="s">
        <v>211</v>
      </c>
      <c r="D106" s="224" t="s">
        <v>212</v>
      </c>
      <c r="E106" s="224" t="s">
        <v>213</v>
      </c>
      <c r="F106" s="224" t="s">
        <v>518</v>
      </c>
      <c r="G106" s="230">
        <v>46356</v>
      </c>
      <c r="H106" s="233">
        <v>921096.04</v>
      </c>
      <c r="I106" s="1">
        <v>206180.81</v>
      </c>
      <c r="J106" s="28" t="s">
        <v>14</v>
      </c>
      <c r="K106" s="29">
        <f>SUM(L106:P106)</f>
        <v>818654.40999999992</v>
      </c>
      <c r="L106" s="29">
        <f>L107+L108</f>
        <v>137453.88</v>
      </c>
      <c r="M106" s="29">
        <f t="shared" ref="M106:P106" si="46">M107+M108</f>
        <v>107081.34</v>
      </c>
      <c r="N106" s="29">
        <f t="shared" si="46"/>
        <v>0</v>
      </c>
      <c r="O106" s="29">
        <f>O107+O108</f>
        <v>574119.18999999994</v>
      </c>
      <c r="P106" s="29">
        <f t="shared" si="46"/>
        <v>0</v>
      </c>
      <c r="Q106" s="29">
        <v>0</v>
      </c>
      <c r="R106" s="224" t="s">
        <v>180</v>
      </c>
    </row>
    <row r="107" spans="1:19" ht="58.5" customHeight="1" x14ac:dyDescent="0.25">
      <c r="A107" s="224"/>
      <c r="B107" s="224"/>
      <c r="C107" s="224"/>
      <c r="D107" s="224"/>
      <c r="E107" s="224"/>
      <c r="F107" s="224"/>
      <c r="G107" s="224"/>
      <c r="H107" s="233"/>
      <c r="I107" s="1">
        <v>129275.37</v>
      </c>
      <c r="J107" s="28" t="s">
        <v>196</v>
      </c>
      <c r="K107" s="29">
        <f>SUM(L107:P107)</f>
        <v>473451.91</v>
      </c>
      <c r="L107" s="29">
        <v>113479.18</v>
      </c>
      <c r="M107" s="29">
        <v>0</v>
      </c>
      <c r="N107" s="5">
        <v>0</v>
      </c>
      <c r="O107" s="5">
        <v>359972.73</v>
      </c>
      <c r="P107" s="5">
        <v>0</v>
      </c>
      <c r="Q107" s="29">
        <v>0</v>
      </c>
      <c r="R107" s="224"/>
    </row>
    <row r="108" spans="1:19" ht="69" customHeight="1" x14ac:dyDescent="0.25">
      <c r="A108" s="224"/>
      <c r="B108" s="224"/>
      <c r="C108" s="224"/>
      <c r="D108" s="224"/>
      <c r="E108" s="224"/>
      <c r="F108" s="224"/>
      <c r="G108" s="224"/>
      <c r="H108" s="233"/>
      <c r="I108" s="1">
        <v>76905.440000000002</v>
      </c>
      <c r="J108" s="28" t="s">
        <v>18</v>
      </c>
      <c r="K108" s="29">
        <f t="shared" si="43"/>
        <v>345202.5</v>
      </c>
      <c r="L108" s="29">
        <f>23974.7</f>
        <v>23974.7</v>
      </c>
      <c r="M108" s="29">
        <v>107081.34</v>
      </c>
      <c r="N108" s="5">
        <v>0</v>
      </c>
      <c r="O108" s="5">
        <v>214146.46</v>
      </c>
      <c r="P108" s="5">
        <v>0</v>
      </c>
      <c r="Q108" s="29">
        <v>0</v>
      </c>
      <c r="R108" s="224"/>
    </row>
    <row r="109" spans="1:19" ht="30" customHeight="1" x14ac:dyDescent="0.25">
      <c r="A109" s="224">
        <v>4</v>
      </c>
      <c r="B109" s="224" t="s">
        <v>482</v>
      </c>
      <c r="C109" s="224" t="s">
        <v>547</v>
      </c>
      <c r="D109" s="224" t="s">
        <v>483</v>
      </c>
      <c r="E109" s="224" t="s">
        <v>209</v>
      </c>
      <c r="F109" s="224" t="s">
        <v>484</v>
      </c>
      <c r="G109" s="230">
        <v>47117</v>
      </c>
      <c r="H109" s="233">
        <v>4823277.8099999996</v>
      </c>
      <c r="I109" s="1">
        <v>0</v>
      </c>
      <c r="J109" s="28" t="s">
        <v>14</v>
      </c>
      <c r="K109" s="29">
        <f>K110+K111</f>
        <v>3009018.43</v>
      </c>
      <c r="L109" s="29">
        <f t="shared" ref="L109:M109" si="47">L110+L111</f>
        <v>0</v>
      </c>
      <c r="M109" s="29">
        <f t="shared" si="47"/>
        <v>0</v>
      </c>
      <c r="N109" s="5">
        <f>N110+N111</f>
        <v>0</v>
      </c>
      <c r="O109" s="5">
        <f>O110+O111</f>
        <v>1503019.22</v>
      </c>
      <c r="P109" s="5">
        <f>P110+P111</f>
        <v>1505999.21</v>
      </c>
      <c r="Q109" s="29">
        <v>0</v>
      </c>
      <c r="R109" s="224" t="s">
        <v>180</v>
      </c>
    </row>
    <row r="110" spans="1:19" ht="40.5" customHeight="1" x14ac:dyDescent="0.35">
      <c r="A110" s="224"/>
      <c r="B110" s="224"/>
      <c r="C110" s="224"/>
      <c r="D110" s="224"/>
      <c r="E110" s="224"/>
      <c r="F110" s="224"/>
      <c r="G110" s="224"/>
      <c r="H110" s="233"/>
      <c r="I110" s="1">
        <v>0</v>
      </c>
      <c r="J110" s="28" t="s">
        <v>196</v>
      </c>
      <c r="K110" s="29">
        <f>L110+M110+N110+O110+P110</f>
        <v>2975390.04</v>
      </c>
      <c r="L110" s="29">
        <v>0</v>
      </c>
      <c r="M110" s="29">
        <v>0</v>
      </c>
      <c r="N110" s="5">
        <v>0</v>
      </c>
      <c r="O110" s="5">
        <v>1487989.02</v>
      </c>
      <c r="P110" s="5">
        <v>1487401.02</v>
      </c>
      <c r="Q110" s="29">
        <v>0</v>
      </c>
      <c r="R110" s="224"/>
      <c r="S110" s="81"/>
    </row>
    <row r="111" spans="1:19" ht="65.25" customHeight="1" x14ac:dyDescent="0.25">
      <c r="A111" s="224"/>
      <c r="B111" s="224"/>
      <c r="C111" s="224"/>
      <c r="D111" s="224"/>
      <c r="E111" s="224"/>
      <c r="F111" s="224"/>
      <c r="G111" s="224"/>
      <c r="H111" s="233"/>
      <c r="I111" s="1">
        <v>0</v>
      </c>
      <c r="J111" s="28" t="s">
        <v>18</v>
      </c>
      <c r="K111" s="29">
        <f>SUM(L111:P111)</f>
        <v>33628.39</v>
      </c>
      <c r="L111" s="29">
        <v>0</v>
      </c>
      <c r="M111" s="29">
        <v>0</v>
      </c>
      <c r="N111" s="5">
        <v>0</v>
      </c>
      <c r="O111" s="5">
        <v>15030.2</v>
      </c>
      <c r="P111" s="5">
        <v>18598.189999999999</v>
      </c>
      <c r="Q111" s="29">
        <v>0</v>
      </c>
      <c r="R111" s="224"/>
    </row>
    <row r="112" spans="1:19" ht="30" customHeight="1" x14ac:dyDescent="0.25">
      <c r="A112" s="224">
        <v>5</v>
      </c>
      <c r="B112" s="224" t="s">
        <v>575</v>
      </c>
      <c r="C112" s="224" t="s">
        <v>573</v>
      </c>
      <c r="D112" s="224" t="s">
        <v>576</v>
      </c>
      <c r="E112" s="224" t="s">
        <v>209</v>
      </c>
      <c r="F112" s="224" t="s">
        <v>574</v>
      </c>
      <c r="G112" s="230">
        <v>46356</v>
      </c>
      <c r="H112" s="233">
        <f>K112</f>
        <v>349007.31</v>
      </c>
      <c r="I112" s="1">
        <v>0</v>
      </c>
      <c r="J112" s="28" t="s">
        <v>14</v>
      </c>
      <c r="K112" s="29">
        <f>K113+K114</f>
        <v>349007.31</v>
      </c>
      <c r="L112" s="29">
        <f t="shared" ref="L112:M112" si="48">L113+L114</f>
        <v>0</v>
      </c>
      <c r="M112" s="29">
        <f t="shared" si="48"/>
        <v>0</v>
      </c>
      <c r="N112" s="5">
        <f>N113+N114</f>
        <v>0</v>
      </c>
      <c r="O112" s="5">
        <f>O113+O114</f>
        <v>349007.31</v>
      </c>
      <c r="P112" s="5">
        <f>P113+P114</f>
        <v>0</v>
      </c>
      <c r="Q112" s="29">
        <v>0</v>
      </c>
      <c r="R112" s="224" t="s">
        <v>180</v>
      </c>
    </row>
    <row r="113" spans="1:20" ht="40.5" customHeight="1" x14ac:dyDescent="0.35">
      <c r="A113" s="224"/>
      <c r="B113" s="224"/>
      <c r="C113" s="224"/>
      <c r="D113" s="224"/>
      <c r="E113" s="224"/>
      <c r="F113" s="224"/>
      <c r="G113" s="224"/>
      <c r="H113" s="233"/>
      <c r="I113" s="1">
        <v>0</v>
      </c>
      <c r="J113" s="28" t="s">
        <v>196</v>
      </c>
      <c r="K113" s="29">
        <f>L113+M113+N113+O113+P113</f>
        <v>217082.54</v>
      </c>
      <c r="L113" s="29">
        <v>0</v>
      </c>
      <c r="M113" s="29">
        <v>0</v>
      </c>
      <c r="N113" s="5">
        <v>0</v>
      </c>
      <c r="O113" s="5">
        <v>217082.54</v>
      </c>
      <c r="P113" s="5">
        <v>0</v>
      </c>
      <c r="Q113" s="29">
        <v>0</v>
      </c>
      <c r="R113" s="224"/>
      <c r="S113" s="81"/>
    </row>
    <row r="114" spans="1:20" ht="65.25" customHeight="1" x14ac:dyDescent="0.25">
      <c r="A114" s="224"/>
      <c r="B114" s="224"/>
      <c r="C114" s="224"/>
      <c r="D114" s="224"/>
      <c r="E114" s="224"/>
      <c r="F114" s="224"/>
      <c r="G114" s="224"/>
      <c r="H114" s="233"/>
      <c r="I114" s="1">
        <v>0</v>
      </c>
      <c r="J114" s="28" t="s">
        <v>18</v>
      </c>
      <c r="K114" s="29">
        <f>SUM(L114:P114)</f>
        <v>131924.76999999999</v>
      </c>
      <c r="L114" s="29">
        <v>0</v>
      </c>
      <c r="M114" s="29">
        <v>0</v>
      </c>
      <c r="N114" s="5">
        <v>0</v>
      </c>
      <c r="O114" s="5">
        <v>131924.76999999999</v>
      </c>
      <c r="P114" s="5">
        <v>0</v>
      </c>
      <c r="Q114" s="29">
        <v>0</v>
      </c>
      <c r="R114" s="224"/>
    </row>
    <row r="115" spans="1:20" ht="32.25" customHeight="1" x14ac:dyDescent="0.25">
      <c r="A115" s="227" t="s">
        <v>242</v>
      </c>
      <c r="B115" s="227"/>
      <c r="C115" s="227"/>
      <c r="D115" s="227"/>
      <c r="E115" s="227"/>
      <c r="F115" s="227"/>
      <c r="G115" s="227"/>
      <c r="H115" s="227"/>
      <c r="I115" s="227"/>
      <c r="J115" s="28" t="s">
        <v>8</v>
      </c>
      <c r="K115" s="1">
        <f>K100+K106+K103+K109+K112</f>
        <v>4479027.892</v>
      </c>
      <c r="L115" s="1">
        <f t="shared" ref="L115:P115" si="49">L100+L106+L103+L109+L112</f>
        <v>197454.06200000001</v>
      </c>
      <c r="M115" s="1">
        <f t="shared" si="49"/>
        <v>169102.88</v>
      </c>
      <c r="N115" s="1">
        <f t="shared" si="49"/>
        <v>0</v>
      </c>
      <c r="O115" s="1">
        <f t="shared" si="49"/>
        <v>2426145.7199999997</v>
      </c>
      <c r="P115" s="1">
        <f t="shared" si="49"/>
        <v>1686325.23</v>
      </c>
      <c r="Q115" s="1">
        <f>Q100+Q106+Q103</f>
        <v>0</v>
      </c>
      <c r="R115" s="224"/>
    </row>
    <row r="116" spans="1:20" ht="40.5" customHeight="1" x14ac:dyDescent="0.25">
      <c r="A116" s="227"/>
      <c r="B116" s="227"/>
      <c r="C116" s="227"/>
      <c r="D116" s="227"/>
      <c r="E116" s="227"/>
      <c r="F116" s="227"/>
      <c r="G116" s="227"/>
      <c r="H116" s="227"/>
      <c r="I116" s="227"/>
      <c r="J116" s="28" t="s">
        <v>10</v>
      </c>
      <c r="K116" s="1">
        <f>K101+K107+K104+K110+K113</f>
        <v>3856138.5300000003</v>
      </c>
      <c r="L116" s="1">
        <f t="shared" ref="L116:P116" si="50">L101+L107+L104+L110+L113</f>
        <v>150979.18</v>
      </c>
      <c r="M116" s="1">
        <f t="shared" si="50"/>
        <v>0</v>
      </c>
      <c r="N116" s="1">
        <f t="shared" si="50"/>
        <v>0</v>
      </c>
      <c r="O116" s="1">
        <f t="shared" si="50"/>
        <v>2065044.29</v>
      </c>
      <c r="P116" s="1">
        <f t="shared" si="50"/>
        <v>1640115.06</v>
      </c>
      <c r="Q116" s="1">
        <f>Q101+Q107</f>
        <v>0</v>
      </c>
      <c r="R116" s="224"/>
    </row>
    <row r="117" spans="1:20" ht="60" customHeight="1" x14ac:dyDescent="0.25">
      <c r="A117" s="227"/>
      <c r="B117" s="227"/>
      <c r="C117" s="227"/>
      <c r="D117" s="227"/>
      <c r="E117" s="227"/>
      <c r="F117" s="227"/>
      <c r="G117" s="227"/>
      <c r="H117" s="227"/>
      <c r="I117" s="227"/>
      <c r="J117" s="28" t="s">
        <v>11</v>
      </c>
      <c r="K117" s="1">
        <f>K102+K108+K105+K111+K114</f>
        <v>622889.36199999996</v>
      </c>
      <c r="L117" s="1">
        <f t="shared" ref="L117:P117" si="51">L102+L108+L105+L111+L114</f>
        <v>46474.881999999998</v>
      </c>
      <c r="M117" s="1">
        <f t="shared" si="51"/>
        <v>169102.88</v>
      </c>
      <c r="N117" s="1">
        <f t="shared" si="51"/>
        <v>0</v>
      </c>
      <c r="O117" s="1">
        <f t="shared" si="51"/>
        <v>361101.43</v>
      </c>
      <c r="P117" s="1">
        <f t="shared" si="51"/>
        <v>46210.17</v>
      </c>
      <c r="Q117" s="1">
        <f>Q102+Q108+Q105</f>
        <v>0</v>
      </c>
      <c r="R117" s="224"/>
    </row>
    <row r="118" spans="1:20" ht="34.5" customHeight="1" x14ac:dyDescent="0.25">
      <c r="A118" s="236" t="s">
        <v>124</v>
      </c>
      <c r="B118" s="236"/>
      <c r="C118" s="236"/>
      <c r="D118" s="236"/>
      <c r="E118" s="236"/>
      <c r="F118" s="236"/>
      <c r="G118" s="236"/>
      <c r="H118" s="236"/>
      <c r="I118" s="236"/>
      <c r="J118" s="236"/>
      <c r="K118" s="236"/>
      <c r="L118" s="236"/>
      <c r="M118" s="236"/>
      <c r="N118" s="236"/>
      <c r="O118" s="236"/>
      <c r="P118" s="236"/>
      <c r="Q118" s="236"/>
      <c r="R118" s="236"/>
    </row>
    <row r="119" spans="1:20" ht="33" customHeight="1" x14ac:dyDescent="0.3">
      <c r="A119" s="224">
        <v>1</v>
      </c>
      <c r="B119" s="224" t="s">
        <v>89</v>
      </c>
      <c r="C119" s="215" t="s">
        <v>214</v>
      </c>
      <c r="D119" s="215" t="s">
        <v>215</v>
      </c>
      <c r="E119" s="215" t="s">
        <v>209</v>
      </c>
      <c r="F119" s="215" t="s">
        <v>605</v>
      </c>
      <c r="G119" s="218">
        <v>46356</v>
      </c>
      <c r="H119" s="221">
        <v>4138618.83</v>
      </c>
      <c r="I119" s="83">
        <v>0</v>
      </c>
      <c r="J119" s="28" t="s">
        <v>14</v>
      </c>
      <c r="K119" s="29">
        <f>SUM(L119:P119)</f>
        <v>4139803.0999999996</v>
      </c>
      <c r="L119" s="29">
        <f>L121+L122+L120</f>
        <v>360750.37</v>
      </c>
      <c r="M119" s="29">
        <f t="shared" ref="M119:P119" si="52">M121+M122+M120</f>
        <v>1467916.93</v>
      </c>
      <c r="N119" s="29">
        <f>N121+N122+N120</f>
        <v>476232.76000000007</v>
      </c>
      <c r="O119" s="29">
        <f t="shared" si="52"/>
        <v>1834903.0399999998</v>
      </c>
      <c r="P119" s="29">
        <f t="shared" si="52"/>
        <v>0</v>
      </c>
      <c r="Q119" s="29">
        <v>0</v>
      </c>
      <c r="R119" s="215" t="s">
        <v>180</v>
      </c>
      <c r="S119" s="84"/>
    </row>
    <row r="120" spans="1:20" ht="49.5" customHeight="1" x14ac:dyDescent="0.25">
      <c r="A120" s="224"/>
      <c r="B120" s="224"/>
      <c r="C120" s="216"/>
      <c r="D120" s="216"/>
      <c r="E120" s="216"/>
      <c r="F120" s="216"/>
      <c r="G120" s="216"/>
      <c r="H120" s="222"/>
      <c r="I120" s="29">
        <v>0</v>
      </c>
      <c r="J120" s="28" t="s">
        <v>9</v>
      </c>
      <c r="K120" s="29">
        <f>L120+M120+N120+O120+P120</f>
        <v>512943.8</v>
      </c>
      <c r="L120" s="29">
        <v>200000</v>
      </c>
      <c r="M120" s="29">
        <v>312943.8</v>
      </c>
      <c r="N120" s="29">
        <f>187056.2-187056.2</f>
        <v>0</v>
      </c>
      <c r="O120" s="29">
        <v>0</v>
      </c>
      <c r="P120" s="29">
        <v>0</v>
      </c>
      <c r="Q120" s="29">
        <v>0</v>
      </c>
      <c r="R120" s="216"/>
    </row>
    <row r="121" spans="1:20" ht="43.5" customHeight="1" x14ac:dyDescent="0.25">
      <c r="A121" s="224"/>
      <c r="B121" s="224"/>
      <c r="C121" s="216"/>
      <c r="D121" s="216"/>
      <c r="E121" s="216"/>
      <c r="F121" s="216"/>
      <c r="G121" s="216"/>
      <c r="H121" s="222"/>
      <c r="I121" s="29">
        <v>0</v>
      </c>
      <c r="J121" s="28" t="s">
        <v>196</v>
      </c>
      <c r="K121" s="29">
        <f t="shared" si="43"/>
        <v>3585455.34</v>
      </c>
      <c r="L121" s="29">
        <v>157142.85999999999</v>
      </c>
      <c r="M121" s="29">
        <v>1140293.96</v>
      </c>
      <c r="N121" s="5">
        <f>629642.18+1166.51-159344.18</f>
        <v>471464.51000000007</v>
      </c>
      <c r="O121" s="5">
        <f>1470153.63+346400.38</f>
        <v>1816554.0099999998</v>
      </c>
      <c r="P121" s="5">
        <v>0</v>
      </c>
      <c r="Q121" s="29">
        <v>0</v>
      </c>
      <c r="R121" s="216"/>
    </row>
    <row r="122" spans="1:20" ht="57" customHeight="1" x14ac:dyDescent="0.25">
      <c r="A122" s="224"/>
      <c r="B122" s="224"/>
      <c r="C122" s="217"/>
      <c r="D122" s="217"/>
      <c r="E122" s="217"/>
      <c r="F122" s="217"/>
      <c r="G122" s="217"/>
      <c r="H122" s="223"/>
      <c r="I122" s="29">
        <v>0</v>
      </c>
      <c r="J122" s="28" t="s">
        <v>18</v>
      </c>
      <c r="K122" s="29">
        <f t="shared" si="43"/>
        <v>41403.96</v>
      </c>
      <c r="L122" s="29">
        <v>3607.51</v>
      </c>
      <c r="M122" s="29">
        <v>14679.17</v>
      </c>
      <c r="N122" s="125">
        <f>8249.48+17.76-3499+0.01</f>
        <v>4768.25</v>
      </c>
      <c r="O122" s="5">
        <f>14850.04+3498.99</f>
        <v>18349.03</v>
      </c>
      <c r="P122" s="5">
        <v>0</v>
      </c>
      <c r="Q122" s="29">
        <v>0</v>
      </c>
      <c r="R122" s="217"/>
    </row>
    <row r="123" spans="1:20" ht="27" customHeight="1" x14ac:dyDescent="0.25">
      <c r="A123" s="227" t="s">
        <v>243</v>
      </c>
      <c r="B123" s="227"/>
      <c r="C123" s="227"/>
      <c r="D123" s="227"/>
      <c r="E123" s="227"/>
      <c r="F123" s="227"/>
      <c r="G123" s="227"/>
      <c r="H123" s="227"/>
      <c r="I123" s="227"/>
      <c r="J123" s="28" t="s">
        <v>8</v>
      </c>
      <c r="K123" s="1">
        <f>K119</f>
        <v>4139803.0999999996</v>
      </c>
      <c r="L123" s="1">
        <f t="shared" ref="L123:P123" si="53">L119</f>
        <v>360750.37</v>
      </c>
      <c r="M123" s="1">
        <f t="shared" si="53"/>
        <v>1467916.93</v>
      </c>
      <c r="N123" s="1">
        <f t="shared" si="53"/>
        <v>476232.76000000007</v>
      </c>
      <c r="O123" s="1">
        <f t="shared" si="53"/>
        <v>1834903.0399999998</v>
      </c>
      <c r="P123" s="1">
        <f t="shared" si="53"/>
        <v>0</v>
      </c>
      <c r="Q123" s="1">
        <f>Q27+Q31+Q77+Q94+Q98+Q102+Q115+Q119</f>
        <v>0</v>
      </c>
      <c r="R123" s="224"/>
    </row>
    <row r="124" spans="1:20" ht="45" customHeight="1" x14ac:dyDescent="0.4">
      <c r="A124" s="227"/>
      <c r="B124" s="227"/>
      <c r="C124" s="227"/>
      <c r="D124" s="227"/>
      <c r="E124" s="227"/>
      <c r="F124" s="227"/>
      <c r="G124" s="227"/>
      <c r="H124" s="227"/>
      <c r="I124" s="227"/>
      <c r="J124" s="28" t="s">
        <v>9</v>
      </c>
      <c r="K124" s="1">
        <f t="shared" ref="K124:P126" si="54">K120</f>
        <v>512943.8</v>
      </c>
      <c r="L124" s="1">
        <f t="shared" si="54"/>
        <v>200000</v>
      </c>
      <c r="M124" s="1">
        <f t="shared" si="54"/>
        <v>312943.8</v>
      </c>
      <c r="N124" s="1">
        <f t="shared" si="54"/>
        <v>0</v>
      </c>
      <c r="O124" s="1">
        <f t="shared" si="54"/>
        <v>0</v>
      </c>
      <c r="P124" s="1">
        <f t="shared" si="54"/>
        <v>0</v>
      </c>
      <c r="Q124" s="1">
        <f>Q28+Q32+Q91+Q95+Q99+Q106+Q116+Q120</f>
        <v>0</v>
      </c>
      <c r="R124" s="224"/>
      <c r="S124" s="85"/>
      <c r="T124" s="86"/>
    </row>
    <row r="125" spans="1:20" ht="40.5" customHeight="1" x14ac:dyDescent="0.4">
      <c r="A125" s="227"/>
      <c r="B125" s="227"/>
      <c r="C125" s="227"/>
      <c r="D125" s="227"/>
      <c r="E125" s="227"/>
      <c r="F125" s="227"/>
      <c r="G125" s="227"/>
      <c r="H125" s="227"/>
      <c r="I125" s="227"/>
      <c r="J125" s="28" t="s">
        <v>10</v>
      </c>
      <c r="K125" s="1">
        <f t="shared" si="54"/>
        <v>3585455.34</v>
      </c>
      <c r="L125" s="1">
        <f t="shared" si="54"/>
        <v>157142.85999999999</v>
      </c>
      <c r="M125" s="1">
        <f t="shared" si="54"/>
        <v>1140293.96</v>
      </c>
      <c r="N125" s="1">
        <f t="shared" si="54"/>
        <v>471464.51000000007</v>
      </c>
      <c r="O125" s="1">
        <f t="shared" si="54"/>
        <v>1816554.0099999998</v>
      </c>
      <c r="P125" s="1">
        <f t="shared" si="54"/>
        <v>0</v>
      </c>
      <c r="Q125" s="1">
        <f>Q29+Q75+Q92+Q96+Q100+Q107+Q117+Q121</f>
        <v>0</v>
      </c>
      <c r="R125" s="224"/>
      <c r="S125" s="85"/>
      <c r="T125" s="86"/>
    </row>
    <row r="126" spans="1:20" ht="67.5" customHeight="1" x14ac:dyDescent="0.4">
      <c r="A126" s="227"/>
      <c r="B126" s="227"/>
      <c r="C126" s="227"/>
      <c r="D126" s="227"/>
      <c r="E126" s="227"/>
      <c r="F126" s="227"/>
      <c r="G126" s="227"/>
      <c r="H126" s="227"/>
      <c r="I126" s="227"/>
      <c r="J126" s="28" t="s">
        <v>11</v>
      </c>
      <c r="K126" s="1">
        <f t="shared" si="54"/>
        <v>41403.96</v>
      </c>
      <c r="L126" s="1">
        <f t="shared" si="54"/>
        <v>3607.51</v>
      </c>
      <c r="M126" s="1">
        <f t="shared" si="54"/>
        <v>14679.17</v>
      </c>
      <c r="N126" s="1">
        <f>N122</f>
        <v>4768.25</v>
      </c>
      <c r="O126" s="1">
        <f>O122</f>
        <v>18349.03</v>
      </c>
      <c r="P126" s="1">
        <f t="shared" si="54"/>
        <v>0</v>
      </c>
      <c r="Q126" s="1">
        <f>Q30+Q76+Q93+Q97+Q101+Q108+Q118+Q122</f>
        <v>0</v>
      </c>
      <c r="R126" s="224"/>
      <c r="S126" s="85"/>
    </row>
    <row r="127" spans="1:20" ht="26.25" customHeight="1" x14ac:dyDescent="0.25">
      <c r="A127" s="236" t="s">
        <v>73</v>
      </c>
      <c r="B127" s="236"/>
      <c r="C127" s="236"/>
      <c r="D127" s="236"/>
      <c r="E127" s="236"/>
      <c r="F127" s="236"/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36"/>
      <c r="T127" s="87"/>
    </row>
    <row r="128" spans="1:20" ht="31.5" customHeight="1" x14ac:dyDescent="0.4">
      <c r="A128" s="224">
        <v>1</v>
      </c>
      <c r="B128" s="224" t="s">
        <v>277</v>
      </c>
      <c r="C128" s="224" t="s">
        <v>535</v>
      </c>
      <c r="D128" s="224" t="s">
        <v>216</v>
      </c>
      <c r="E128" s="224" t="s">
        <v>548</v>
      </c>
      <c r="F128" s="224" t="s">
        <v>609</v>
      </c>
      <c r="G128" s="230">
        <v>47087</v>
      </c>
      <c r="H128" s="233">
        <v>177109.32</v>
      </c>
      <c r="I128" s="88">
        <v>0</v>
      </c>
      <c r="J128" s="28" t="s">
        <v>14</v>
      </c>
      <c r="K128" s="29">
        <f>N128+O128+P128</f>
        <v>100855.2</v>
      </c>
      <c r="L128" s="29">
        <v>0</v>
      </c>
      <c r="M128" s="29">
        <v>0</v>
      </c>
      <c r="N128" s="29">
        <f>N129+N130</f>
        <v>0</v>
      </c>
      <c r="O128" s="29">
        <f>O129+O130</f>
        <v>59000</v>
      </c>
      <c r="P128" s="29">
        <f>P129+P130</f>
        <v>41855.199999999997</v>
      </c>
      <c r="Q128" s="29">
        <f>Q129+Q130</f>
        <v>0</v>
      </c>
      <c r="R128" s="224" t="s">
        <v>180</v>
      </c>
      <c r="T128" s="85"/>
    </row>
    <row r="129" spans="1:21" ht="57.75" customHeight="1" x14ac:dyDescent="0.25">
      <c r="A129" s="224"/>
      <c r="B129" s="224"/>
      <c r="C129" s="224"/>
      <c r="D129" s="224"/>
      <c r="E129" s="224"/>
      <c r="F129" s="224"/>
      <c r="G129" s="224"/>
      <c r="H129" s="233"/>
      <c r="I129" s="88">
        <v>0</v>
      </c>
      <c r="J129" s="28" t="s">
        <v>196</v>
      </c>
      <c r="K129" s="29">
        <f>N129+O129+P129</f>
        <v>73108</v>
      </c>
      <c r="L129" s="29">
        <v>0</v>
      </c>
      <c r="M129" s="29">
        <v>0</v>
      </c>
      <c r="N129" s="5">
        <v>0</v>
      </c>
      <c r="O129" s="5">
        <v>36108</v>
      </c>
      <c r="P129" s="5">
        <v>37000</v>
      </c>
      <c r="Q129" s="29">
        <v>0</v>
      </c>
      <c r="R129" s="224"/>
      <c r="S129" s="89"/>
      <c r="T129" s="87"/>
      <c r="U129" s="89"/>
    </row>
    <row r="130" spans="1:21" ht="75.75" customHeight="1" x14ac:dyDescent="0.25">
      <c r="A130" s="224"/>
      <c r="B130" s="224"/>
      <c r="C130" s="224"/>
      <c r="D130" s="224"/>
      <c r="E130" s="224"/>
      <c r="F130" s="224"/>
      <c r="G130" s="224"/>
      <c r="H130" s="233"/>
      <c r="I130" s="88">
        <v>0</v>
      </c>
      <c r="J130" s="28" t="s">
        <v>18</v>
      </c>
      <c r="K130" s="29">
        <f>N130+O130+P130</f>
        <v>27747.200000000001</v>
      </c>
      <c r="L130" s="29">
        <v>0</v>
      </c>
      <c r="M130" s="29">
        <v>0</v>
      </c>
      <c r="N130" s="5">
        <v>0</v>
      </c>
      <c r="O130" s="5">
        <v>22892</v>
      </c>
      <c r="P130" s="5">
        <v>4855.2</v>
      </c>
      <c r="Q130" s="29">
        <v>0</v>
      </c>
      <c r="R130" s="224"/>
      <c r="S130" s="89"/>
      <c r="T130" s="87"/>
      <c r="U130" s="89"/>
    </row>
    <row r="131" spans="1:21" ht="27.75" customHeight="1" x14ac:dyDescent="0.25">
      <c r="A131" s="227" t="s">
        <v>240</v>
      </c>
      <c r="B131" s="227"/>
      <c r="C131" s="227"/>
      <c r="D131" s="227"/>
      <c r="E131" s="227"/>
      <c r="F131" s="227"/>
      <c r="G131" s="227"/>
      <c r="H131" s="227"/>
      <c r="I131" s="227"/>
      <c r="J131" s="28" t="s">
        <v>8</v>
      </c>
      <c r="K131" s="1">
        <f t="shared" ref="K131:Q133" si="55">K128</f>
        <v>100855.2</v>
      </c>
      <c r="L131" s="1">
        <f t="shared" si="55"/>
        <v>0</v>
      </c>
      <c r="M131" s="1">
        <f t="shared" si="55"/>
        <v>0</v>
      </c>
      <c r="N131" s="1">
        <f>N128</f>
        <v>0</v>
      </c>
      <c r="O131" s="1">
        <f>O128</f>
        <v>59000</v>
      </c>
      <c r="P131" s="1">
        <f>P128</f>
        <v>41855.199999999997</v>
      </c>
      <c r="Q131" s="1">
        <f t="shared" si="55"/>
        <v>0</v>
      </c>
      <c r="R131" s="224"/>
    </row>
    <row r="132" spans="1:21" ht="40.5" customHeight="1" x14ac:dyDescent="0.25">
      <c r="A132" s="227"/>
      <c r="B132" s="227"/>
      <c r="C132" s="227"/>
      <c r="D132" s="227"/>
      <c r="E132" s="227"/>
      <c r="F132" s="227"/>
      <c r="G132" s="227"/>
      <c r="H132" s="227"/>
      <c r="I132" s="227"/>
      <c r="J132" s="28" t="s">
        <v>10</v>
      </c>
      <c r="K132" s="1">
        <f t="shared" si="55"/>
        <v>73108</v>
      </c>
      <c r="L132" s="1">
        <f t="shared" si="55"/>
        <v>0</v>
      </c>
      <c r="M132" s="1">
        <f t="shared" si="55"/>
        <v>0</v>
      </c>
      <c r="N132" s="1">
        <f t="shared" si="55"/>
        <v>0</v>
      </c>
      <c r="O132" s="1">
        <f>O129</f>
        <v>36108</v>
      </c>
      <c r="P132" s="1">
        <f t="shared" si="55"/>
        <v>37000</v>
      </c>
      <c r="Q132" s="1">
        <f t="shared" si="55"/>
        <v>0</v>
      </c>
      <c r="R132" s="224"/>
    </row>
    <row r="133" spans="1:21" ht="60" customHeight="1" x14ac:dyDescent="0.25">
      <c r="A133" s="227"/>
      <c r="B133" s="227"/>
      <c r="C133" s="227"/>
      <c r="D133" s="227"/>
      <c r="E133" s="227"/>
      <c r="F133" s="227"/>
      <c r="G133" s="227"/>
      <c r="H133" s="227"/>
      <c r="I133" s="227"/>
      <c r="J133" s="28" t="s">
        <v>11</v>
      </c>
      <c r="K133" s="1">
        <f t="shared" si="55"/>
        <v>27747.200000000001</v>
      </c>
      <c r="L133" s="1">
        <f t="shared" si="55"/>
        <v>0</v>
      </c>
      <c r="M133" s="1">
        <f t="shared" si="55"/>
        <v>0</v>
      </c>
      <c r="N133" s="1">
        <f t="shared" si="55"/>
        <v>0</v>
      </c>
      <c r="O133" s="1">
        <f>O130</f>
        <v>22892</v>
      </c>
      <c r="P133" s="1">
        <f t="shared" si="55"/>
        <v>4855.2</v>
      </c>
      <c r="Q133" s="1">
        <f t="shared" si="55"/>
        <v>0</v>
      </c>
      <c r="R133" s="224"/>
    </row>
    <row r="134" spans="1:21" ht="23.25" customHeight="1" x14ac:dyDescent="0.3">
      <c r="A134" s="235" t="s">
        <v>133</v>
      </c>
      <c r="B134" s="235"/>
      <c r="C134" s="235"/>
      <c r="D134" s="235"/>
      <c r="E134" s="235"/>
      <c r="F134" s="235"/>
      <c r="G134" s="235"/>
      <c r="H134" s="235"/>
      <c r="I134" s="235"/>
      <c r="J134" s="235"/>
      <c r="K134" s="235"/>
      <c r="L134" s="235"/>
      <c r="M134" s="235"/>
      <c r="N134" s="235"/>
      <c r="O134" s="235"/>
      <c r="P134" s="235"/>
      <c r="Q134" s="235"/>
      <c r="R134" s="235"/>
    </row>
    <row r="135" spans="1:21" ht="24.75" customHeight="1" x14ac:dyDescent="0.3">
      <c r="A135" s="237" t="s">
        <v>276</v>
      </c>
      <c r="B135" s="238"/>
      <c r="C135" s="238"/>
      <c r="D135" s="238"/>
      <c r="E135" s="238"/>
      <c r="F135" s="238"/>
      <c r="G135" s="238"/>
      <c r="H135" s="238"/>
      <c r="I135" s="238"/>
      <c r="J135" s="238"/>
      <c r="K135" s="238"/>
      <c r="L135" s="238"/>
      <c r="M135" s="238"/>
      <c r="N135" s="238"/>
      <c r="O135" s="238"/>
      <c r="P135" s="238"/>
      <c r="Q135" s="238"/>
      <c r="R135" s="239"/>
    </row>
    <row r="136" spans="1:21" ht="27.75" customHeight="1" x14ac:dyDescent="0.25">
      <c r="A136" s="224">
        <v>1</v>
      </c>
      <c r="B136" s="224" t="s">
        <v>272</v>
      </c>
      <c r="C136" s="224" t="s">
        <v>273</v>
      </c>
      <c r="D136" s="224" t="s">
        <v>218</v>
      </c>
      <c r="E136" s="224" t="s">
        <v>209</v>
      </c>
      <c r="F136" s="224" t="s">
        <v>520</v>
      </c>
      <c r="G136" s="230">
        <v>45945</v>
      </c>
      <c r="H136" s="233">
        <f>K136</f>
        <v>76191.75</v>
      </c>
      <c r="I136" s="88">
        <v>0</v>
      </c>
      <c r="J136" s="28" t="s">
        <v>14</v>
      </c>
      <c r="K136" s="29">
        <f>K138+K137</f>
        <v>76191.75</v>
      </c>
      <c r="L136" s="29">
        <f>L137+L138</f>
        <v>10000</v>
      </c>
      <c r="M136" s="29">
        <f>M137+M138</f>
        <v>28571.73</v>
      </c>
      <c r="N136" s="29">
        <f t="shared" ref="N136:O136" si="56">N137+N138</f>
        <v>37620.020000000004</v>
      </c>
      <c r="O136" s="29">
        <f t="shared" si="56"/>
        <v>0</v>
      </c>
      <c r="P136" s="29">
        <f>P137+P138</f>
        <v>0</v>
      </c>
      <c r="Q136" s="29">
        <f>Q137+Q138</f>
        <v>0</v>
      </c>
      <c r="R136" s="224" t="s">
        <v>180</v>
      </c>
    </row>
    <row r="137" spans="1:21" ht="39" customHeight="1" x14ac:dyDescent="0.25">
      <c r="A137" s="224"/>
      <c r="B137" s="224"/>
      <c r="C137" s="224"/>
      <c r="D137" s="224"/>
      <c r="E137" s="224"/>
      <c r="F137" s="224"/>
      <c r="G137" s="224"/>
      <c r="H137" s="233"/>
      <c r="I137" s="88">
        <v>0</v>
      </c>
      <c r="J137" s="28" t="s">
        <v>196</v>
      </c>
      <c r="K137" s="29">
        <f>SUM(L137:P137)</f>
        <v>47057.47</v>
      </c>
      <c r="L137" s="29">
        <v>6120</v>
      </c>
      <c r="M137" s="29">
        <v>17462.95</v>
      </c>
      <c r="N137" s="29">
        <v>23474.52</v>
      </c>
      <c r="O137" s="29">
        <v>0</v>
      </c>
      <c r="P137" s="29">
        <v>0</v>
      </c>
      <c r="Q137" s="88">
        <v>0</v>
      </c>
      <c r="R137" s="224"/>
      <c r="S137" s="89"/>
    </row>
    <row r="138" spans="1:21" ht="63.75" customHeight="1" x14ac:dyDescent="0.25">
      <c r="A138" s="224"/>
      <c r="B138" s="224"/>
      <c r="C138" s="224"/>
      <c r="D138" s="224"/>
      <c r="E138" s="224"/>
      <c r="F138" s="224"/>
      <c r="G138" s="224"/>
      <c r="H138" s="233"/>
      <c r="I138" s="88">
        <v>0</v>
      </c>
      <c r="J138" s="28" t="s">
        <v>18</v>
      </c>
      <c r="K138" s="29">
        <f>SUM(L138:P138)</f>
        <v>29134.28</v>
      </c>
      <c r="L138" s="29">
        <v>3880</v>
      </c>
      <c r="M138" s="29">
        <f>11102.07+6.71</f>
        <v>11108.779999999999</v>
      </c>
      <c r="N138" s="29">
        <v>14145.5</v>
      </c>
      <c r="O138" s="29">
        <v>0</v>
      </c>
      <c r="P138" s="29">
        <v>0</v>
      </c>
      <c r="Q138" s="88">
        <v>0</v>
      </c>
      <c r="R138" s="224"/>
      <c r="S138" s="89"/>
    </row>
    <row r="139" spans="1:21" ht="22.5" customHeight="1" x14ac:dyDescent="0.25">
      <c r="A139" s="224">
        <v>2</v>
      </c>
      <c r="B139" s="224" t="s">
        <v>274</v>
      </c>
      <c r="C139" s="224" t="s">
        <v>217</v>
      </c>
      <c r="D139" s="224" t="s">
        <v>219</v>
      </c>
      <c r="E139" s="224" t="s">
        <v>209</v>
      </c>
      <c r="F139" s="224" t="s">
        <v>520</v>
      </c>
      <c r="G139" s="230">
        <v>45945</v>
      </c>
      <c r="H139" s="233">
        <f>K139</f>
        <v>295368.99</v>
      </c>
      <c r="I139" s="88">
        <v>0</v>
      </c>
      <c r="J139" s="28" t="s">
        <v>14</v>
      </c>
      <c r="K139" s="29">
        <f>K141+K140</f>
        <v>295368.99</v>
      </c>
      <c r="L139" s="29">
        <f>L140+L141</f>
        <v>54650</v>
      </c>
      <c r="M139" s="29">
        <f>M140+M141</f>
        <v>68223.81</v>
      </c>
      <c r="N139" s="29">
        <f t="shared" ref="N139:P139" si="57">N140+N141</f>
        <v>172495.18</v>
      </c>
      <c r="O139" s="29">
        <f t="shared" si="57"/>
        <v>0</v>
      </c>
      <c r="P139" s="29">
        <f t="shared" si="57"/>
        <v>0</v>
      </c>
      <c r="Q139" s="88">
        <v>0</v>
      </c>
      <c r="R139" s="224" t="s">
        <v>180</v>
      </c>
    </row>
    <row r="140" spans="1:21" ht="52.5" customHeight="1" x14ac:dyDescent="0.25">
      <c r="A140" s="224"/>
      <c r="B140" s="224"/>
      <c r="C140" s="224"/>
      <c r="D140" s="224"/>
      <c r="E140" s="224"/>
      <c r="F140" s="224"/>
      <c r="G140" s="224"/>
      <c r="H140" s="233"/>
      <c r="I140" s="88">
        <v>0</v>
      </c>
      <c r="J140" s="28" t="s">
        <v>196</v>
      </c>
      <c r="K140" s="29">
        <f>SUM(L140:P140)</f>
        <v>180723.15000000002</v>
      </c>
      <c r="L140" s="29">
        <v>33445.800000000003</v>
      </c>
      <c r="M140" s="29">
        <v>41710.300000000003</v>
      </c>
      <c r="N140" s="29">
        <v>105567.05</v>
      </c>
      <c r="O140" s="29">
        <v>0</v>
      </c>
      <c r="P140" s="29">
        <v>0</v>
      </c>
      <c r="Q140" s="88">
        <v>0</v>
      </c>
      <c r="R140" s="224"/>
      <c r="S140" s="80"/>
    </row>
    <row r="141" spans="1:21" ht="60.75" customHeight="1" x14ac:dyDescent="0.25">
      <c r="A141" s="224"/>
      <c r="B141" s="224"/>
      <c r="C141" s="224"/>
      <c r="D141" s="224"/>
      <c r="E141" s="224"/>
      <c r="F141" s="224"/>
      <c r="G141" s="224"/>
      <c r="H141" s="233"/>
      <c r="I141" s="88">
        <v>0</v>
      </c>
      <c r="J141" s="28" t="s">
        <v>18</v>
      </c>
      <c r="K141" s="29">
        <f>SUM(L141:P141)</f>
        <v>114645.84</v>
      </c>
      <c r="L141" s="29">
        <f>21204.2</f>
        <v>21204.2</v>
      </c>
      <c r="M141" s="29">
        <v>26513.51</v>
      </c>
      <c r="N141" s="29">
        <v>66928.13</v>
      </c>
      <c r="O141" s="29">
        <v>0</v>
      </c>
      <c r="P141" s="29">
        <v>0</v>
      </c>
      <c r="Q141" s="88">
        <v>0</v>
      </c>
      <c r="R141" s="224"/>
      <c r="S141" s="87"/>
    </row>
    <row r="142" spans="1:21" ht="22.5" customHeight="1" x14ac:dyDescent="0.25">
      <c r="A142" s="224">
        <v>3</v>
      </c>
      <c r="B142" s="224" t="s">
        <v>275</v>
      </c>
      <c r="C142" s="224" t="s">
        <v>220</v>
      </c>
      <c r="D142" s="224" t="s">
        <v>221</v>
      </c>
      <c r="E142" s="224" t="s">
        <v>213</v>
      </c>
      <c r="F142" s="224" t="s">
        <v>520</v>
      </c>
      <c r="G142" s="230">
        <v>45945</v>
      </c>
      <c r="H142" s="233">
        <f>K142</f>
        <v>105274.4</v>
      </c>
      <c r="I142" s="88">
        <v>0</v>
      </c>
      <c r="J142" s="28" t="s">
        <v>14</v>
      </c>
      <c r="K142" s="29">
        <f>K144+K143</f>
        <v>105274.4</v>
      </c>
      <c r="L142" s="29">
        <f>L143+L144</f>
        <v>30750</v>
      </c>
      <c r="M142" s="29">
        <f t="shared" ref="M142" si="58">M143+M144</f>
        <v>21339.58</v>
      </c>
      <c r="N142" s="29">
        <f>N143+N144</f>
        <v>53184.820000000007</v>
      </c>
      <c r="O142" s="29">
        <f t="shared" ref="O142:P142" si="59">O143+O144</f>
        <v>0</v>
      </c>
      <c r="P142" s="29">
        <f t="shared" si="59"/>
        <v>0</v>
      </c>
      <c r="Q142" s="88">
        <v>0</v>
      </c>
      <c r="R142" s="215" t="s">
        <v>180</v>
      </c>
    </row>
    <row r="143" spans="1:21" ht="48.75" customHeight="1" x14ac:dyDescent="0.25">
      <c r="A143" s="224"/>
      <c r="B143" s="224"/>
      <c r="C143" s="224"/>
      <c r="D143" s="224"/>
      <c r="E143" s="224"/>
      <c r="F143" s="224"/>
      <c r="G143" s="224"/>
      <c r="H143" s="233"/>
      <c r="I143" s="88">
        <v>0</v>
      </c>
      <c r="J143" s="28" t="s">
        <v>196</v>
      </c>
      <c r="K143" s="29">
        <f>SUM(L143:P143)</f>
        <v>64948.56</v>
      </c>
      <c r="L143" s="29">
        <v>18819</v>
      </c>
      <c r="M143" s="29">
        <v>12942.23</v>
      </c>
      <c r="N143" s="29">
        <f>6115.2+27072.13</f>
        <v>33187.33</v>
      </c>
      <c r="O143" s="29">
        <v>0</v>
      </c>
      <c r="P143" s="29">
        <v>0</v>
      </c>
      <c r="Q143" s="88">
        <v>0</v>
      </c>
      <c r="R143" s="216"/>
      <c r="S143" s="90"/>
    </row>
    <row r="144" spans="1:21" ht="87" customHeight="1" x14ac:dyDescent="0.25">
      <c r="A144" s="224"/>
      <c r="B144" s="224"/>
      <c r="C144" s="224"/>
      <c r="D144" s="224"/>
      <c r="E144" s="224"/>
      <c r="F144" s="224"/>
      <c r="G144" s="224"/>
      <c r="H144" s="233"/>
      <c r="I144" s="88">
        <v>0</v>
      </c>
      <c r="J144" s="28" t="s">
        <v>18</v>
      </c>
      <c r="K144" s="29">
        <f>SUM(L144:P144)</f>
        <v>40325.839999999997</v>
      </c>
      <c r="L144" s="29">
        <f>11931</f>
        <v>11931</v>
      </c>
      <c r="M144" s="29">
        <v>8397.35</v>
      </c>
      <c r="N144" s="29">
        <f>3684.8+16312.69</f>
        <v>19997.490000000002</v>
      </c>
      <c r="O144" s="29">
        <v>0</v>
      </c>
      <c r="P144" s="29">
        <v>0</v>
      </c>
      <c r="Q144" s="88">
        <v>0</v>
      </c>
      <c r="R144" s="217"/>
      <c r="S144" s="91"/>
    </row>
    <row r="145" spans="1:19" ht="24.75" customHeight="1" x14ac:dyDescent="0.25">
      <c r="A145" s="224">
        <v>4</v>
      </c>
      <c r="B145" s="224" t="s">
        <v>153</v>
      </c>
      <c r="C145" s="224" t="s">
        <v>248</v>
      </c>
      <c r="D145" s="215" t="s">
        <v>249</v>
      </c>
      <c r="E145" s="215" t="s">
        <v>209</v>
      </c>
      <c r="F145" s="215" t="s">
        <v>250</v>
      </c>
      <c r="G145" s="218">
        <v>45657</v>
      </c>
      <c r="H145" s="233">
        <f>K145</f>
        <v>0</v>
      </c>
      <c r="I145" s="88">
        <v>0</v>
      </c>
      <c r="J145" s="28" t="s">
        <v>14</v>
      </c>
      <c r="K145" s="29">
        <f>K147+K146</f>
        <v>0</v>
      </c>
      <c r="L145" s="29">
        <f>L146+L147</f>
        <v>0</v>
      </c>
      <c r="M145" s="29">
        <f t="shared" ref="M145:P145" si="60">M146+M147</f>
        <v>0</v>
      </c>
      <c r="N145" s="29">
        <f t="shared" si="60"/>
        <v>0</v>
      </c>
      <c r="O145" s="29">
        <f t="shared" si="60"/>
        <v>0</v>
      </c>
      <c r="P145" s="29">
        <f t="shared" si="60"/>
        <v>0</v>
      </c>
      <c r="Q145" s="88">
        <v>0</v>
      </c>
      <c r="R145" s="224" t="s">
        <v>180</v>
      </c>
      <c r="S145" s="92"/>
    </row>
    <row r="146" spans="1:19" ht="48.75" customHeight="1" x14ac:dyDescent="0.25">
      <c r="A146" s="224"/>
      <c r="B146" s="224"/>
      <c r="C146" s="224"/>
      <c r="D146" s="216"/>
      <c r="E146" s="216"/>
      <c r="F146" s="216"/>
      <c r="G146" s="216"/>
      <c r="H146" s="233"/>
      <c r="I146" s="88">
        <v>0</v>
      </c>
      <c r="J146" s="28" t="s">
        <v>196</v>
      </c>
      <c r="K146" s="29">
        <f>SUM(L146:P146)</f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88">
        <v>0</v>
      </c>
      <c r="R146" s="224"/>
      <c r="S146" s="87"/>
    </row>
    <row r="147" spans="1:19" ht="64.5" customHeight="1" x14ac:dyDescent="0.25">
      <c r="A147" s="224"/>
      <c r="B147" s="224"/>
      <c r="C147" s="224"/>
      <c r="D147" s="217"/>
      <c r="E147" s="217"/>
      <c r="F147" s="217"/>
      <c r="G147" s="217"/>
      <c r="H147" s="233"/>
      <c r="I147" s="88">
        <v>0</v>
      </c>
      <c r="J147" s="28" t="s">
        <v>18</v>
      </c>
      <c r="K147" s="29">
        <f>SUM(L147:P147)</f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88">
        <v>0</v>
      </c>
      <c r="R147" s="224"/>
    </row>
    <row r="148" spans="1:19" ht="27" customHeight="1" x14ac:dyDescent="0.25">
      <c r="A148" s="227" t="s">
        <v>242</v>
      </c>
      <c r="B148" s="227"/>
      <c r="C148" s="227"/>
      <c r="D148" s="227"/>
      <c r="E148" s="227"/>
      <c r="F148" s="227"/>
      <c r="G148" s="227"/>
      <c r="H148" s="227"/>
      <c r="I148" s="227"/>
      <c r="J148" s="28" t="s">
        <v>8</v>
      </c>
      <c r="K148" s="1">
        <f t="shared" ref="K148:Q150" si="61">K136+K139+K142+K145</f>
        <v>476835.14</v>
      </c>
      <c r="L148" s="1">
        <f t="shared" si="61"/>
        <v>95400</v>
      </c>
      <c r="M148" s="1">
        <f t="shared" si="61"/>
        <v>118135.12</v>
      </c>
      <c r="N148" s="1">
        <f>N136+N139+N142+N145</f>
        <v>263300.02</v>
      </c>
      <c r="O148" s="1">
        <f t="shared" si="61"/>
        <v>0</v>
      </c>
      <c r="P148" s="1">
        <f t="shared" si="61"/>
        <v>0</v>
      </c>
      <c r="Q148" s="1">
        <f t="shared" si="61"/>
        <v>0</v>
      </c>
      <c r="R148" s="224"/>
    </row>
    <row r="149" spans="1:19" ht="40.5" customHeight="1" x14ac:dyDescent="0.25">
      <c r="A149" s="227"/>
      <c r="B149" s="227"/>
      <c r="C149" s="227"/>
      <c r="D149" s="227"/>
      <c r="E149" s="227"/>
      <c r="F149" s="227"/>
      <c r="G149" s="227"/>
      <c r="H149" s="227"/>
      <c r="I149" s="227"/>
      <c r="J149" s="28" t="s">
        <v>10</v>
      </c>
      <c r="K149" s="1">
        <f t="shared" si="61"/>
        <v>292729.18000000005</v>
      </c>
      <c r="L149" s="1">
        <f t="shared" si="61"/>
        <v>58384.800000000003</v>
      </c>
      <c r="M149" s="1">
        <f t="shared" si="61"/>
        <v>72115.48</v>
      </c>
      <c r="N149" s="1">
        <f>N137+N140+N143+N146</f>
        <v>162228.90000000002</v>
      </c>
      <c r="O149" s="1">
        <f t="shared" si="61"/>
        <v>0</v>
      </c>
      <c r="P149" s="1">
        <f t="shared" si="61"/>
        <v>0</v>
      </c>
      <c r="Q149" s="1">
        <f t="shared" si="61"/>
        <v>0</v>
      </c>
      <c r="R149" s="224"/>
    </row>
    <row r="150" spans="1:19" ht="60" customHeight="1" x14ac:dyDescent="0.25">
      <c r="A150" s="227"/>
      <c r="B150" s="227"/>
      <c r="C150" s="227"/>
      <c r="D150" s="227"/>
      <c r="E150" s="227"/>
      <c r="F150" s="227"/>
      <c r="G150" s="227"/>
      <c r="H150" s="227"/>
      <c r="I150" s="227"/>
      <c r="J150" s="28" t="s">
        <v>11</v>
      </c>
      <c r="K150" s="1">
        <f t="shared" si="61"/>
        <v>184105.96</v>
      </c>
      <c r="L150" s="1">
        <f t="shared" si="61"/>
        <v>37015.199999999997</v>
      </c>
      <c r="M150" s="1">
        <f t="shared" si="61"/>
        <v>46019.639999999992</v>
      </c>
      <c r="N150" s="1">
        <f t="shared" si="61"/>
        <v>101071.12000000001</v>
      </c>
      <c r="O150" s="1">
        <f t="shared" si="61"/>
        <v>0</v>
      </c>
      <c r="P150" s="1">
        <f t="shared" si="61"/>
        <v>0</v>
      </c>
      <c r="Q150" s="1">
        <f t="shared" si="61"/>
        <v>0</v>
      </c>
      <c r="R150" s="224"/>
    </row>
    <row r="151" spans="1:19" ht="24.75" customHeight="1" x14ac:dyDescent="0.3">
      <c r="A151" s="237" t="s">
        <v>362</v>
      </c>
      <c r="B151" s="238"/>
      <c r="C151" s="238"/>
      <c r="D151" s="238"/>
      <c r="E151" s="238"/>
      <c r="F151" s="238"/>
      <c r="G151" s="238"/>
      <c r="H151" s="238"/>
      <c r="I151" s="238"/>
      <c r="J151" s="238"/>
      <c r="K151" s="238"/>
      <c r="L151" s="238"/>
      <c r="M151" s="238"/>
      <c r="N151" s="238"/>
      <c r="O151" s="238"/>
      <c r="P151" s="238"/>
      <c r="Q151" s="238"/>
      <c r="R151" s="239"/>
    </row>
    <row r="152" spans="1:19" ht="27.75" customHeight="1" x14ac:dyDescent="0.25">
      <c r="A152" s="224">
        <v>1</v>
      </c>
      <c r="B152" s="224" t="s">
        <v>364</v>
      </c>
      <c r="C152" s="224" t="s">
        <v>367</v>
      </c>
      <c r="D152" s="224" t="s">
        <v>366</v>
      </c>
      <c r="E152" s="224" t="s">
        <v>213</v>
      </c>
      <c r="F152" s="224" t="s">
        <v>519</v>
      </c>
      <c r="G152" s="230">
        <v>45945</v>
      </c>
      <c r="H152" s="233">
        <f>N152</f>
        <v>56051.649999999994</v>
      </c>
      <c r="I152" s="88">
        <v>0</v>
      </c>
      <c r="J152" s="28" t="s">
        <v>14</v>
      </c>
      <c r="K152" s="29">
        <f>K154+K153</f>
        <v>72801.39</v>
      </c>
      <c r="L152" s="29">
        <f>L153+L154</f>
        <v>0</v>
      </c>
      <c r="M152" s="29">
        <f>M153+M154</f>
        <v>16749.740000000002</v>
      </c>
      <c r="N152" s="29">
        <f>N153+N154</f>
        <v>56051.649999999994</v>
      </c>
      <c r="O152" s="29">
        <f t="shared" ref="O152" si="62">O153+O154</f>
        <v>0</v>
      </c>
      <c r="P152" s="29">
        <f>P153+P154</f>
        <v>0</v>
      </c>
      <c r="Q152" s="29">
        <f>Q153+Q154</f>
        <v>0</v>
      </c>
      <c r="R152" s="224" t="s">
        <v>180</v>
      </c>
    </row>
    <row r="153" spans="1:19" ht="39" customHeight="1" x14ac:dyDescent="0.25">
      <c r="A153" s="224"/>
      <c r="B153" s="224"/>
      <c r="C153" s="224"/>
      <c r="D153" s="224"/>
      <c r="E153" s="224"/>
      <c r="F153" s="224"/>
      <c r="G153" s="224"/>
      <c r="H153" s="233"/>
      <c r="I153" s="88">
        <v>0</v>
      </c>
      <c r="J153" s="28" t="s">
        <v>196</v>
      </c>
      <c r="K153" s="29">
        <f>SUM(L153:P153)</f>
        <v>34976.229999999996</v>
      </c>
      <c r="L153" s="29">
        <v>0</v>
      </c>
      <c r="M153" s="29">
        <v>0</v>
      </c>
      <c r="N153" s="29">
        <f>34602.56+373.67</f>
        <v>34976.229999999996</v>
      </c>
      <c r="O153" s="29">
        <v>0</v>
      </c>
      <c r="P153" s="29">
        <v>0</v>
      </c>
      <c r="Q153" s="88">
        <v>0</v>
      </c>
      <c r="R153" s="224"/>
      <c r="S153" s="89"/>
    </row>
    <row r="154" spans="1:19" ht="63.75" customHeight="1" x14ac:dyDescent="0.35">
      <c r="A154" s="224"/>
      <c r="B154" s="224"/>
      <c r="C154" s="224"/>
      <c r="D154" s="224"/>
      <c r="E154" s="224"/>
      <c r="F154" s="224"/>
      <c r="G154" s="224"/>
      <c r="H154" s="233"/>
      <c r="I154" s="88">
        <v>0</v>
      </c>
      <c r="J154" s="28" t="s">
        <v>18</v>
      </c>
      <c r="K154" s="29">
        <f>SUM(L154:P154)</f>
        <v>37825.160000000003</v>
      </c>
      <c r="L154" s="29">
        <v>0</v>
      </c>
      <c r="M154" s="29">
        <v>16749.740000000002</v>
      </c>
      <c r="N154" s="29">
        <f>20850.26+225.16</f>
        <v>21075.42</v>
      </c>
      <c r="O154" s="29">
        <v>0</v>
      </c>
      <c r="P154" s="29">
        <v>0</v>
      </c>
      <c r="Q154" s="88">
        <v>0</v>
      </c>
      <c r="R154" s="224"/>
      <c r="S154" s="93"/>
    </row>
    <row r="155" spans="1:19" ht="27.75" customHeight="1" x14ac:dyDescent="0.25">
      <c r="A155" s="224">
        <v>2</v>
      </c>
      <c r="B155" s="224" t="s">
        <v>567</v>
      </c>
      <c r="C155" s="224" t="s">
        <v>568</v>
      </c>
      <c r="D155" s="224" t="s">
        <v>569</v>
      </c>
      <c r="E155" s="224" t="s">
        <v>213</v>
      </c>
      <c r="F155" s="224" t="s">
        <v>570</v>
      </c>
      <c r="G155" s="230">
        <v>46310</v>
      </c>
      <c r="H155" s="233">
        <f>K155</f>
        <v>0</v>
      </c>
      <c r="I155" s="88">
        <v>0</v>
      </c>
      <c r="J155" s="28" t="s">
        <v>14</v>
      </c>
      <c r="K155" s="29">
        <f>K157+K156</f>
        <v>0</v>
      </c>
      <c r="L155" s="29">
        <f>L156+L157</f>
        <v>0</v>
      </c>
      <c r="M155" s="29">
        <f t="shared" ref="M155:O155" si="63">M156+M157</f>
        <v>0</v>
      </c>
      <c r="N155" s="29">
        <f t="shared" si="63"/>
        <v>0</v>
      </c>
      <c r="O155" s="29">
        <f t="shared" si="63"/>
        <v>0</v>
      </c>
      <c r="P155" s="29">
        <f>P156+P157</f>
        <v>0</v>
      </c>
      <c r="Q155" s="29">
        <f>Q156+Q157</f>
        <v>0</v>
      </c>
      <c r="R155" s="224" t="s">
        <v>180</v>
      </c>
    </row>
    <row r="156" spans="1:19" ht="39" customHeight="1" x14ac:dyDescent="0.25">
      <c r="A156" s="224"/>
      <c r="B156" s="224"/>
      <c r="C156" s="224"/>
      <c r="D156" s="224"/>
      <c r="E156" s="224"/>
      <c r="F156" s="224"/>
      <c r="G156" s="224"/>
      <c r="H156" s="233"/>
      <c r="I156" s="88">
        <v>0</v>
      </c>
      <c r="J156" s="28" t="s">
        <v>196</v>
      </c>
      <c r="K156" s="29">
        <f>SUM(L156:P156)</f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88">
        <v>0</v>
      </c>
      <c r="R156" s="224"/>
      <c r="S156" s="89"/>
    </row>
    <row r="157" spans="1:19" ht="63.75" customHeight="1" x14ac:dyDescent="0.35">
      <c r="A157" s="224"/>
      <c r="B157" s="224"/>
      <c r="C157" s="224"/>
      <c r="D157" s="224"/>
      <c r="E157" s="224"/>
      <c r="F157" s="224"/>
      <c r="G157" s="224"/>
      <c r="H157" s="233"/>
      <c r="I157" s="88">
        <v>0</v>
      </c>
      <c r="J157" s="28" t="s">
        <v>18</v>
      </c>
      <c r="K157" s="29">
        <f>SUM(L157:P157)</f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88">
        <v>0</v>
      </c>
      <c r="R157" s="224"/>
      <c r="S157" s="93"/>
    </row>
    <row r="158" spans="1:19" ht="27" customHeight="1" x14ac:dyDescent="0.25">
      <c r="A158" s="227" t="s">
        <v>365</v>
      </c>
      <c r="B158" s="227"/>
      <c r="C158" s="227"/>
      <c r="D158" s="227"/>
      <c r="E158" s="227"/>
      <c r="F158" s="227"/>
      <c r="G158" s="227"/>
      <c r="H158" s="227"/>
      <c r="I158" s="227"/>
      <c r="J158" s="28" t="s">
        <v>8</v>
      </c>
      <c r="K158" s="1">
        <f>K159+K160</f>
        <v>72801.39</v>
      </c>
      <c r="L158" s="1">
        <f t="shared" ref="L158" si="64">L159+L160</f>
        <v>0</v>
      </c>
      <c r="M158" s="1">
        <f>M159+M160</f>
        <v>16749.740000000002</v>
      </c>
      <c r="N158" s="1">
        <f>N159+N160</f>
        <v>56051.649999999994</v>
      </c>
      <c r="O158" s="1">
        <f>O159+O160</f>
        <v>0</v>
      </c>
      <c r="P158" s="1">
        <f t="shared" ref="P158" si="65">P159+P160</f>
        <v>0</v>
      </c>
      <c r="Q158" s="1">
        <f t="shared" ref="Q158" si="66">Q159+Q160</f>
        <v>0</v>
      </c>
      <c r="R158" s="224"/>
    </row>
    <row r="159" spans="1:19" ht="40.5" customHeight="1" x14ac:dyDescent="0.25">
      <c r="A159" s="227"/>
      <c r="B159" s="227"/>
      <c r="C159" s="227"/>
      <c r="D159" s="227"/>
      <c r="E159" s="227"/>
      <c r="F159" s="227"/>
      <c r="G159" s="227"/>
      <c r="H159" s="227"/>
      <c r="I159" s="227"/>
      <c r="J159" s="28" t="s">
        <v>10</v>
      </c>
      <c r="K159" s="1">
        <f t="shared" ref="K159:P160" si="67">K153</f>
        <v>34976.229999999996</v>
      </c>
      <c r="L159" s="1">
        <f t="shared" si="67"/>
        <v>0</v>
      </c>
      <c r="M159" s="1">
        <f t="shared" si="67"/>
        <v>0</v>
      </c>
      <c r="N159" s="1">
        <f t="shared" si="67"/>
        <v>34976.229999999996</v>
      </c>
      <c r="O159" s="1">
        <f t="shared" si="67"/>
        <v>0</v>
      </c>
      <c r="P159" s="1">
        <f t="shared" si="67"/>
        <v>0</v>
      </c>
      <c r="Q159" s="1">
        <v>0</v>
      </c>
      <c r="R159" s="224"/>
    </row>
    <row r="160" spans="1:19" ht="60" customHeight="1" x14ac:dyDescent="0.25">
      <c r="A160" s="227"/>
      <c r="B160" s="227"/>
      <c r="C160" s="227"/>
      <c r="D160" s="227"/>
      <c r="E160" s="227"/>
      <c r="F160" s="227"/>
      <c r="G160" s="227"/>
      <c r="H160" s="227"/>
      <c r="I160" s="227"/>
      <c r="J160" s="28" t="s">
        <v>11</v>
      </c>
      <c r="K160" s="1">
        <f t="shared" si="67"/>
        <v>37825.160000000003</v>
      </c>
      <c r="L160" s="1">
        <f t="shared" si="67"/>
        <v>0</v>
      </c>
      <c r="M160" s="1">
        <f t="shared" si="67"/>
        <v>16749.740000000002</v>
      </c>
      <c r="N160" s="1">
        <f t="shared" si="67"/>
        <v>21075.42</v>
      </c>
      <c r="O160" s="1">
        <f t="shared" si="67"/>
        <v>0</v>
      </c>
      <c r="P160" s="1">
        <f t="shared" si="67"/>
        <v>0</v>
      </c>
      <c r="Q160" s="1">
        <f>Q154</f>
        <v>0</v>
      </c>
      <c r="R160" s="224"/>
    </row>
    <row r="161" spans="1:19" ht="24.75" customHeight="1" x14ac:dyDescent="0.3">
      <c r="A161" s="237" t="s">
        <v>525</v>
      </c>
      <c r="B161" s="238"/>
      <c r="C161" s="238"/>
      <c r="D161" s="238"/>
      <c r="E161" s="238"/>
      <c r="F161" s="238"/>
      <c r="G161" s="238"/>
      <c r="H161" s="238"/>
      <c r="I161" s="238"/>
      <c r="J161" s="238"/>
      <c r="K161" s="238"/>
      <c r="L161" s="238"/>
      <c r="M161" s="238"/>
      <c r="N161" s="238"/>
      <c r="O161" s="238"/>
      <c r="P161" s="238"/>
      <c r="Q161" s="238"/>
      <c r="R161" s="239"/>
    </row>
    <row r="162" spans="1:19" ht="27.75" customHeight="1" x14ac:dyDescent="0.25">
      <c r="A162" s="224">
        <v>1</v>
      </c>
      <c r="B162" s="224" t="s">
        <v>368</v>
      </c>
      <c r="C162" s="224" t="s">
        <v>375</v>
      </c>
      <c r="D162" s="215" t="s">
        <v>369</v>
      </c>
      <c r="E162" s="215" t="s">
        <v>209</v>
      </c>
      <c r="F162" s="215" t="s">
        <v>602</v>
      </c>
      <c r="G162" s="218">
        <v>46310</v>
      </c>
      <c r="H162" s="233">
        <f>N162+O162</f>
        <v>265801.64</v>
      </c>
      <c r="I162" s="88">
        <v>0</v>
      </c>
      <c r="J162" s="28" t="s">
        <v>14</v>
      </c>
      <c r="K162" s="29">
        <f>K164+K163</f>
        <v>279091.71999999997</v>
      </c>
      <c r="L162" s="29">
        <f>L163+L164</f>
        <v>0</v>
      </c>
      <c r="M162" s="29">
        <f t="shared" ref="M162:O162" si="68">M163+M164</f>
        <v>13290.08</v>
      </c>
      <c r="N162" s="29">
        <f t="shared" si="68"/>
        <v>146190.9</v>
      </c>
      <c r="O162" s="29">
        <f t="shared" si="68"/>
        <v>119610.74</v>
      </c>
      <c r="P162" s="29">
        <f>P163+P164</f>
        <v>0</v>
      </c>
      <c r="Q162" s="29">
        <f>Q163+Q164</f>
        <v>0</v>
      </c>
      <c r="R162" s="224" t="s">
        <v>180</v>
      </c>
    </row>
    <row r="163" spans="1:19" ht="39" customHeight="1" x14ac:dyDescent="0.25">
      <c r="A163" s="224"/>
      <c r="B163" s="224"/>
      <c r="C163" s="224"/>
      <c r="D163" s="216"/>
      <c r="E163" s="216"/>
      <c r="F163" s="216"/>
      <c r="G163" s="216"/>
      <c r="H163" s="233"/>
      <c r="I163" s="88">
        <v>0</v>
      </c>
      <c r="J163" s="28" t="s">
        <v>196</v>
      </c>
      <c r="K163" s="29">
        <f>SUM(L163:P163)</f>
        <v>171654.69</v>
      </c>
      <c r="L163" s="29">
        <v>0</v>
      </c>
      <c r="M163" s="29">
        <v>8293.01</v>
      </c>
      <c r="N163" s="29">
        <v>88724.58</v>
      </c>
      <c r="O163" s="29">
        <v>74637.100000000006</v>
      </c>
      <c r="P163" s="29">
        <v>0</v>
      </c>
      <c r="Q163" s="88">
        <v>0</v>
      </c>
      <c r="R163" s="224"/>
      <c r="S163" s="89"/>
    </row>
    <row r="164" spans="1:19" ht="63.75" customHeight="1" x14ac:dyDescent="0.35">
      <c r="A164" s="224"/>
      <c r="B164" s="224"/>
      <c r="C164" s="224"/>
      <c r="D164" s="217"/>
      <c r="E164" s="217"/>
      <c r="F164" s="217"/>
      <c r="G164" s="217"/>
      <c r="H164" s="233"/>
      <c r="I164" s="88">
        <v>0</v>
      </c>
      <c r="J164" s="28" t="s">
        <v>18</v>
      </c>
      <c r="K164" s="29">
        <f>SUM(L164:P164)</f>
        <v>107437.03</v>
      </c>
      <c r="L164" s="29">
        <v>0</v>
      </c>
      <c r="M164" s="29">
        <v>4997.07</v>
      </c>
      <c r="N164" s="29">
        <v>57466.32</v>
      </c>
      <c r="O164" s="29">
        <v>44973.64</v>
      </c>
      <c r="P164" s="29">
        <v>0</v>
      </c>
      <c r="Q164" s="88">
        <v>0</v>
      </c>
      <c r="R164" s="224"/>
      <c r="S164" s="93"/>
    </row>
    <row r="165" spans="1:19" ht="27.75" customHeight="1" x14ac:dyDescent="0.35">
      <c r="A165" s="224">
        <v>2</v>
      </c>
      <c r="B165" s="224" t="s">
        <v>370</v>
      </c>
      <c r="C165" s="224" t="s">
        <v>391</v>
      </c>
      <c r="D165" s="224" t="s">
        <v>371</v>
      </c>
      <c r="E165" s="224" t="s">
        <v>209</v>
      </c>
      <c r="F165" s="224" t="s">
        <v>602</v>
      </c>
      <c r="G165" s="230">
        <v>46310</v>
      </c>
      <c r="H165" s="233">
        <f>N165+O165</f>
        <v>56867.8</v>
      </c>
      <c r="I165" s="88">
        <v>0</v>
      </c>
      <c r="J165" s="28" t="s">
        <v>14</v>
      </c>
      <c r="K165" s="29">
        <f>K167+K166</f>
        <v>59711.19</v>
      </c>
      <c r="L165" s="29">
        <f>L166+L167</f>
        <v>0</v>
      </c>
      <c r="M165" s="29">
        <f t="shared" ref="M165" si="69">M166+M167</f>
        <v>2843.39</v>
      </c>
      <c r="N165" s="29">
        <f>N166+N167</f>
        <v>17060.34</v>
      </c>
      <c r="O165" s="29">
        <f>O166+O167</f>
        <v>39807.46</v>
      </c>
      <c r="P165" s="29">
        <f>P166+P167</f>
        <v>0</v>
      </c>
      <c r="Q165" s="29">
        <f>Q166+Q167</f>
        <v>0</v>
      </c>
      <c r="R165" s="224" t="s">
        <v>180</v>
      </c>
      <c r="S165" s="81"/>
    </row>
    <row r="166" spans="1:19" ht="54" customHeight="1" x14ac:dyDescent="0.25">
      <c r="A166" s="224"/>
      <c r="B166" s="224"/>
      <c r="C166" s="224"/>
      <c r="D166" s="224"/>
      <c r="E166" s="224"/>
      <c r="F166" s="224"/>
      <c r="G166" s="224"/>
      <c r="H166" s="233"/>
      <c r="I166" s="88">
        <v>0</v>
      </c>
      <c r="J166" s="28" t="s">
        <v>196</v>
      </c>
      <c r="K166" s="29">
        <f>SUM(L166:P166)</f>
        <v>36725.230000000003</v>
      </c>
      <c r="L166" s="29">
        <v>0</v>
      </c>
      <c r="M166" s="29">
        <v>1774.28</v>
      </c>
      <c r="N166" s="29">
        <v>10111.09</v>
      </c>
      <c r="O166" s="29">
        <v>24839.86</v>
      </c>
      <c r="P166" s="29">
        <v>0</v>
      </c>
      <c r="Q166" s="88">
        <v>0</v>
      </c>
      <c r="R166" s="224"/>
      <c r="S166" s="89"/>
    </row>
    <row r="167" spans="1:19" ht="72" customHeight="1" x14ac:dyDescent="0.35">
      <c r="A167" s="224"/>
      <c r="B167" s="224"/>
      <c r="C167" s="224"/>
      <c r="D167" s="224"/>
      <c r="E167" s="224"/>
      <c r="F167" s="224"/>
      <c r="G167" s="224"/>
      <c r="H167" s="233"/>
      <c r="I167" s="88">
        <v>0</v>
      </c>
      <c r="J167" s="28" t="s">
        <v>18</v>
      </c>
      <c r="K167" s="29">
        <f>SUM(L167:P167)</f>
        <v>22985.96</v>
      </c>
      <c r="L167" s="29">
        <v>0</v>
      </c>
      <c r="M167" s="29">
        <v>1069.1099999999999</v>
      </c>
      <c r="N167" s="29">
        <v>6949.25</v>
      </c>
      <c r="O167" s="29">
        <v>14967.6</v>
      </c>
      <c r="P167" s="29">
        <v>0</v>
      </c>
      <c r="Q167" s="88">
        <v>0</v>
      </c>
      <c r="R167" s="224"/>
      <c r="S167" s="93"/>
    </row>
    <row r="168" spans="1:19" ht="34.5" customHeight="1" x14ac:dyDescent="0.25">
      <c r="A168" s="224">
        <v>3</v>
      </c>
      <c r="B168" s="224" t="s">
        <v>372</v>
      </c>
      <c r="C168" s="224" t="s">
        <v>393</v>
      </c>
      <c r="D168" s="224" t="s">
        <v>373</v>
      </c>
      <c r="E168" s="224" t="s">
        <v>209</v>
      </c>
      <c r="F168" s="224" t="s">
        <v>604</v>
      </c>
      <c r="G168" s="230">
        <v>45945</v>
      </c>
      <c r="H168" s="233">
        <f>N168</f>
        <v>301279.37</v>
      </c>
      <c r="I168" s="88">
        <v>0</v>
      </c>
      <c r="J168" s="28" t="s">
        <v>14</v>
      </c>
      <c r="K168" s="29">
        <f>K170+K169</f>
        <v>308387.84999999998</v>
      </c>
      <c r="L168" s="29">
        <f>L169+L170</f>
        <v>0</v>
      </c>
      <c r="M168" s="29">
        <f t="shared" ref="M168:O168" si="70">M169+M170</f>
        <v>7108.48</v>
      </c>
      <c r="N168" s="29">
        <f t="shared" si="70"/>
        <v>301279.37</v>
      </c>
      <c r="O168" s="29">
        <f t="shared" si="70"/>
        <v>0</v>
      </c>
      <c r="P168" s="29">
        <f>P169+P170</f>
        <v>0</v>
      </c>
      <c r="Q168" s="29">
        <f>Q169+Q170</f>
        <v>0</v>
      </c>
      <c r="R168" s="224" t="s">
        <v>180</v>
      </c>
    </row>
    <row r="169" spans="1:19" ht="39" customHeight="1" x14ac:dyDescent="0.25">
      <c r="A169" s="224"/>
      <c r="B169" s="224"/>
      <c r="C169" s="224"/>
      <c r="D169" s="224"/>
      <c r="E169" s="224"/>
      <c r="F169" s="224"/>
      <c r="G169" s="224"/>
      <c r="H169" s="233"/>
      <c r="I169" s="88">
        <v>0</v>
      </c>
      <c r="J169" s="28" t="s">
        <v>196</v>
      </c>
      <c r="K169" s="29">
        <f>SUM(L169:P169)</f>
        <v>191097.06</v>
      </c>
      <c r="L169" s="29">
        <v>0</v>
      </c>
      <c r="M169" s="29">
        <v>4435.6899999999996</v>
      </c>
      <c r="N169" s="29">
        <v>186661.37</v>
      </c>
      <c r="O169" s="29">
        <v>0</v>
      </c>
      <c r="P169" s="29">
        <v>0</v>
      </c>
      <c r="Q169" s="88">
        <v>0</v>
      </c>
      <c r="R169" s="224"/>
      <c r="S169" s="89"/>
    </row>
    <row r="170" spans="1:19" ht="77.25" customHeight="1" x14ac:dyDescent="0.35">
      <c r="A170" s="224"/>
      <c r="B170" s="224"/>
      <c r="C170" s="224"/>
      <c r="D170" s="224"/>
      <c r="E170" s="224"/>
      <c r="F170" s="224"/>
      <c r="G170" s="224"/>
      <c r="H170" s="233"/>
      <c r="I170" s="88">
        <v>0</v>
      </c>
      <c r="J170" s="28" t="s">
        <v>18</v>
      </c>
      <c r="K170" s="29">
        <f>SUM(L170:P170)</f>
        <v>117290.79</v>
      </c>
      <c r="L170" s="29">
        <v>0</v>
      </c>
      <c r="M170" s="29">
        <v>2672.79</v>
      </c>
      <c r="N170" s="29">
        <v>114618</v>
      </c>
      <c r="O170" s="29">
        <v>0</v>
      </c>
      <c r="P170" s="29">
        <v>0</v>
      </c>
      <c r="Q170" s="88">
        <v>0</v>
      </c>
      <c r="R170" s="224"/>
      <c r="S170" s="93"/>
    </row>
    <row r="171" spans="1:19" ht="30.75" customHeight="1" x14ac:dyDescent="0.25">
      <c r="A171" s="224">
        <v>4</v>
      </c>
      <c r="B171" s="224" t="s">
        <v>397</v>
      </c>
      <c r="C171" s="224" t="s">
        <v>393</v>
      </c>
      <c r="D171" s="224" t="s">
        <v>398</v>
      </c>
      <c r="E171" s="224" t="s">
        <v>213</v>
      </c>
      <c r="F171" s="224" t="s">
        <v>602</v>
      </c>
      <c r="G171" s="230">
        <v>46310</v>
      </c>
      <c r="H171" s="233">
        <f>N171+O171</f>
        <v>136827.25</v>
      </c>
      <c r="I171" s="88">
        <v>0</v>
      </c>
      <c r="J171" s="28" t="s">
        <v>14</v>
      </c>
      <c r="K171" s="29">
        <f>K173+K172</f>
        <v>143668.60999999999</v>
      </c>
      <c r="L171" s="29">
        <f>L172+L173</f>
        <v>0</v>
      </c>
      <c r="M171" s="29">
        <f t="shared" ref="M171:O171" si="71">M172+M173</f>
        <v>6841.36</v>
      </c>
      <c r="N171" s="29">
        <f t="shared" si="71"/>
        <v>21457.699999999997</v>
      </c>
      <c r="O171" s="29">
        <f t="shared" si="71"/>
        <v>115369.55</v>
      </c>
      <c r="P171" s="29">
        <f>P172+P173</f>
        <v>0</v>
      </c>
      <c r="Q171" s="29">
        <f>Q172+Q173</f>
        <v>0</v>
      </c>
      <c r="R171" s="224" t="s">
        <v>180</v>
      </c>
    </row>
    <row r="172" spans="1:19" ht="39" customHeight="1" x14ac:dyDescent="0.25">
      <c r="A172" s="224"/>
      <c r="B172" s="224"/>
      <c r="C172" s="224"/>
      <c r="D172" s="224"/>
      <c r="E172" s="224"/>
      <c r="F172" s="224"/>
      <c r="G172" s="224"/>
      <c r="H172" s="233"/>
      <c r="I172" s="88">
        <v>0</v>
      </c>
      <c r="J172" s="28" t="s">
        <v>196</v>
      </c>
      <c r="K172" s="29">
        <f>SUM(L172:P172)</f>
        <v>88363.040000000008</v>
      </c>
      <c r="L172" s="29">
        <v>0</v>
      </c>
      <c r="M172" s="29">
        <v>4269.01</v>
      </c>
      <c r="N172" s="29">
        <v>13187.9</v>
      </c>
      <c r="O172" s="29">
        <v>70906.13</v>
      </c>
      <c r="P172" s="29">
        <v>0</v>
      </c>
      <c r="Q172" s="88">
        <v>0</v>
      </c>
      <c r="R172" s="224"/>
      <c r="S172" s="89"/>
    </row>
    <row r="173" spans="1:19" ht="63.75" customHeight="1" x14ac:dyDescent="0.35">
      <c r="A173" s="224"/>
      <c r="B173" s="224"/>
      <c r="C173" s="224"/>
      <c r="D173" s="224"/>
      <c r="E173" s="224"/>
      <c r="F173" s="224"/>
      <c r="G173" s="224"/>
      <c r="H173" s="233"/>
      <c r="I173" s="88">
        <v>0</v>
      </c>
      <c r="J173" s="28" t="s">
        <v>18</v>
      </c>
      <c r="K173" s="29">
        <f>SUM(L173:P173)</f>
        <v>55305.569999999992</v>
      </c>
      <c r="L173" s="29">
        <v>0</v>
      </c>
      <c r="M173" s="29">
        <v>2572.3499999999995</v>
      </c>
      <c r="N173" s="29">
        <v>8269.7999999999993</v>
      </c>
      <c r="O173" s="29">
        <v>44463.42</v>
      </c>
      <c r="P173" s="29">
        <v>0</v>
      </c>
      <c r="Q173" s="88">
        <v>0</v>
      </c>
      <c r="R173" s="224"/>
      <c r="S173" s="93"/>
    </row>
    <row r="174" spans="1:19" ht="30.75" customHeight="1" x14ac:dyDescent="0.25">
      <c r="A174" s="224">
        <v>5</v>
      </c>
      <c r="B174" s="224" t="s">
        <v>385</v>
      </c>
      <c r="C174" s="224" t="s">
        <v>386</v>
      </c>
      <c r="D174" s="224" t="s">
        <v>417</v>
      </c>
      <c r="E174" s="224" t="s">
        <v>213</v>
      </c>
      <c r="F174" s="224" t="s">
        <v>602</v>
      </c>
      <c r="G174" s="230">
        <v>46310</v>
      </c>
      <c r="H174" s="233">
        <f>N174+O174</f>
        <v>99366.63</v>
      </c>
      <c r="I174" s="88">
        <v>0</v>
      </c>
      <c r="J174" s="28" t="s">
        <v>14</v>
      </c>
      <c r="K174" s="29">
        <f>K176+K175</f>
        <v>104334.95999999999</v>
      </c>
      <c r="L174" s="29">
        <f>L175+L176</f>
        <v>0</v>
      </c>
      <c r="M174" s="29">
        <f>M175+M176</f>
        <v>4968.33</v>
      </c>
      <c r="N174" s="29">
        <f>N175+N176</f>
        <v>27000</v>
      </c>
      <c r="O174" s="29">
        <f t="shared" ref="O174" si="72">O175+O176</f>
        <v>72366.63</v>
      </c>
      <c r="P174" s="29">
        <f>P175+P176</f>
        <v>0</v>
      </c>
      <c r="Q174" s="29">
        <f>Q175+Q176</f>
        <v>0</v>
      </c>
      <c r="R174" s="224" t="s">
        <v>180</v>
      </c>
    </row>
    <row r="175" spans="1:19" ht="39" customHeight="1" x14ac:dyDescent="0.25">
      <c r="A175" s="224"/>
      <c r="B175" s="224"/>
      <c r="C175" s="224"/>
      <c r="D175" s="224"/>
      <c r="E175" s="224"/>
      <c r="F175" s="224"/>
      <c r="G175" s="224"/>
      <c r="H175" s="233"/>
      <c r="I175" s="88">
        <v>0</v>
      </c>
      <c r="J175" s="28" t="s">
        <v>196</v>
      </c>
      <c r="K175" s="29">
        <f>SUM(L175:P175)</f>
        <v>64170.97</v>
      </c>
      <c r="L175" s="29">
        <v>0</v>
      </c>
      <c r="M175" s="29">
        <v>3100.24</v>
      </c>
      <c r="N175" s="29">
        <v>16594.2</v>
      </c>
      <c r="O175" s="29">
        <v>44476.53</v>
      </c>
      <c r="P175" s="29">
        <v>0</v>
      </c>
      <c r="Q175" s="88">
        <v>0</v>
      </c>
      <c r="R175" s="224"/>
      <c r="S175" s="89"/>
    </row>
    <row r="176" spans="1:19" ht="63.75" customHeight="1" x14ac:dyDescent="0.35">
      <c r="A176" s="224"/>
      <c r="B176" s="224"/>
      <c r="C176" s="224"/>
      <c r="D176" s="224"/>
      <c r="E176" s="224"/>
      <c r="F176" s="224"/>
      <c r="G176" s="224"/>
      <c r="H176" s="233"/>
      <c r="I176" s="88">
        <v>0</v>
      </c>
      <c r="J176" s="28" t="s">
        <v>18</v>
      </c>
      <c r="K176" s="29">
        <f>SUM(L176:P176)</f>
        <v>40163.99</v>
      </c>
      <c r="L176" s="29">
        <v>0</v>
      </c>
      <c r="M176" s="29">
        <v>1868.09</v>
      </c>
      <c r="N176" s="29">
        <v>10405.799999999999</v>
      </c>
      <c r="O176" s="29">
        <v>27890.1</v>
      </c>
      <c r="P176" s="29">
        <v>0</v>
      </c>
      <c r="Q176" s="88">
        <v>0</v>
      </c>
      <c r="R176" s="224"/>
      <c r="S176" s="93"/>
    </row>
    <row r="177" spans="1:19" ht="27.75" customHeight="1" x14ac:dyDescent="0.35">
      <c r="A177" s="224">
        <v>6</v>
      </c>
      <c r="B177" s="224" t="s">
        <v>376</v>
      </c>
      <c r="C177" s="224" t="s">
        <v>394</v>
      </c>
      <c r="D177" s="224" t="s">
        <v>377</v>
      </c>
      <c r="E177" s="224" t="s">
        <v>209</v>
      </c>
      <c r="F177" s="224" t="s">
        <v>602</v>
      </c>
      <c r="G177" s="230">
        <v>46310</v>
      </c>
      <c r="H177" s="233">
        <f>N177+O177</f>
        <v>168477.33999999997</v>
      </c>
      <c r="I177" s="88">
        <v>0</v>
      </c>
      <c r="J177" s="28" t="s">
        <v>14</v>
      </c>
      <c r="K177" s="29">
        <f>K179+K178</f>
        <v>168477.33999999997</v>
      </c>
      <c r="L177" s="29">
        <f>L178+L179</f>
        <v>0</v>
      </c>
      <c r="M177" s="29">
        <f t="shared" ref="M177:O177" si="73">M178+M179</f>
        <v>0</v>
      </c>
      <c r="N177" s="29">
        <f t="shared" si="73"/>
        <v>50543.199999999997</v>
      </c>
      <c r="O177" s="29">
        <f t="shared" si="73"/>
        <v>117934.13999999998</v>
      </c>
      <c r="P177" s="29">
        <f>P178+P179</f>
        <v>0</v>
      </c>
      <c r="Q177" s="29">
        <f>Q178+Q179</f>
        <v>0</v>
      </c>
      <c r="R177" s="224" t="s">
        <v>180</v>
      </c>
      <c r="S177" s="81"/>
    </row>
    <row r="178" spans="1:19" ht="39" customHeight="1" x14ac:dyDescent="0.25">
      <c r="A178" s="224"/>
      <c r="B178" s="224"/>
      <c r="C178" s="224"/>
      <c r="D178" s="224"/>
      <c r="E178" s="224"/>
      <c r="F178" s="224"/>
      <c r="G178" s="224"/>
      <c r="H178" s="233"/>
      <c r="I178" s="88">
        <v>0</v>
      </c>
      <c r="J178" s="28" t="s">
        <v>196</v>
      </c>
      <c r="K178" s="29">
        <f>SUM(L178:P178)</f>
        <v>105129.85999999999</v>
      </c>
      <c r="L178" s="29">
        <v>0</v>
      </c>
      <c r="M178" s="29">
        <v>0</v>
      </c>
      <c r="N178" s="29">
        <v>31538.959999999999</v>
      </c>
      <c r="O178" s="29">
        <v>73590.899999999994</v>
      </c>
      <c r="P178" s="29">
        <v>0</v>
      </c>
      <c r="Q178" s="88">
        <v>0</v>
      </c>
      <c r="R178" s="224"/>
      <c r="S178" s="89"/>
    </row>
    <row r="179" spans="1:19" ht="63.75" customHeight="1" x14ac:dyDescent="0.35">
      <c r="A179" s="224"/>
      <c r="B179" s="224"/>
      <c r="C179" s="224"/>
      <c r="D179" s="224"/>
      <c r="E179" s="224"/>
      <c r="F179" s="224"/>
      <c r="G179" s="224"/>
      <c r="H179" s="233"/>
      <c r="I179" s="88">
        <v>0</v>
      </c>
      <c r="J179" s="28" t="s">
        <v>18</v>
      </c>
      <c r="K179" s="29">
        <f>SUM(L179:P179)</f>
        <v>63347.479999999996</v>
      </c>
      <c r="L179" s="29">
        <v>0</v>
      </c>
      <c r="M179" s="29">
        <v>0</v>
      </c>
      <c r="N179" s="29">
        <v>19004.240000000002</v>
      </c>
      <c r="O179" s="29">
        <v>44343.24</v>
      </c>
      <c r="P179" s="29">
        <v>0</v>
      </c>
      <c r="Q179" s="88">
        <v>0</v>
      </c>
      <c r="R179" s="224"/>
      <c r="S179" s="93"/>
    </row>
    <row r="180" spans="1:19" ht="30.75" customHeight="1" x14ac:dyDescent="0.25">
      <c r="A180" s="224">
        <v>7</v>
      </c>
      <c r="B180" s="224" t="s">
        <v>424</v>
      </c>
      <c r="C180" s="224" t="s">
        <v>427</v>
      </c>
      <c r="D180" s="224" t="s">
        <v>428</v>
      </c>
      <c r="E180" s="224" t="s">
        <v>209</v>
      </c>
      <c r="F180" s="224" t="s">
        <v>603</v>
      </c>
      <c r="G180" s="230">
        <v>46310</v>
      </c>
      <c r="H180" s="233">
        <f>N180+O180</f>
        <v>54550.150000000009</v>
      </c>
      <c r="I180" s="88">
        <v>0</v>
      </c>
      <c r="J180" s="28" t="s">
        <v>14</v>
      </c>
      <c r="K180" s="29">
        <f>K182+K181</f>
        <v>57277.649999999994</v>
      </c>
      <c r="L180" s="29">
        <f>L181+L182</f>
        <v>0</v>
      </c>
      <c r="M180" s="29">
        <f>M181+M182</f>
        <v>2727.5</v>
      </c>
      <c r="N180" s="29">
        <f>N181+N182</f>
        <v>16365.05</v>
      </c>
      <c r="O180" s="29">
        <f t="shared" ref="O180" si="74">O181+O182</f>
        <v>38185.100000000006</v>
      </c>
      <c r="P180" s="29">
        <f>P181+P182</f>
        <v>0</v>
      </c>
      <c r="Q180" s="29">
        <f>Q181+Q182</f>
        <v>0</v>
      </c>
      <c r="R180" s="224" t="s">
        <v>180</v>
      </c>
    </row>
    <row r="181" spans="1:19" ht="39" customHeight="1" x14ac:dyDescent="0.25">
      <c r="A181" s="224"/>
      <c r="B181" s="224"/>
      <c r="C181" s="224"/>
      <c r="D181" s="224"/>
      <c r="E181" s="224"/>
      <c r="F181" s="224"/>
      <c r="G181" s="224"/>
      <c r="H181" s="233"/>
      <c r="I181" s="88">
        <v>0</v>
      </c>
      <c r="J181" s="28" t="s">
        <v>196</v>
      </c>
      <c r="K181" s="29">
        <f>SUM(L181:P181)</f>
        <v>35228.479999999996</v>
      </c>
      <c r="L181" s="29">
        <v>0</v>
      </c>
      <c r="M181" s="29">
        <v>1701.96</v>
      </c>
      <c r="N181" s="29">
        <v>10057.959999999999</v>
      </c>
      <c r="O181" s="29">
        <v>23468.560000000001</v>
      </c>
      <c r="P181" s="29">
        <v>0</v>
      </c>
      <c r="Q181" s="88">
        <v>0</v>
      </c>
      <c r="R181" s="224"/>
      <c r="S181" s="89"/>
    </row>
    <row r="182" spans="1:19" ht="63.75" customHeight="1" x14ac:dyDescent="0.35">
      <c r="A182" s="224"/>
      <c r="B182" s="224"/>
      <c r="C182" s="224"/>
      <c r="D182" s="224"/>
      <c r="E182" s="224"/>
      <c r="F182" s="224"/>
      <c r="G182" s="224"/>
      <c r="H182" s="233"/>
      <c r="I182" s="88">
        <v>0</v>
      </c>
      <c r="J182" s="28" t="s">
        <v>18</v>
      </c>
      <c r="K182" s="29">
        <f>SUM(L182:P182)</f>
        <v>22049.170000000002</v>
      </c>
      <c r="L182" s="29">
        <v>0</v>
      </c>
      <c r="M182" s="29">
        <v>1025.54</v>
      </c>
      <c r="N182" s="29">
        <v>6307.09</v>
      </c>
      <c r="O182" s="29">
        <v>14716.54</v>
      </c>
      <c r="P182" s="29">
        <v>0</v>
      </c>
      <c r="Q182" s="88">
        <v>0</v>
      </c>
      <c r="R182" s="224"/>
      <c r="S182" s="93"/>
    </row>
    <row r="183" spans="1:19" ht="27.75" customHeight="1" x14ac:dyDescent="0.35">
      <c r="A183" s="224">
        <v>8</v>
      </c>
      <c r="B183" s="224" t="s">
        <v>425</v>
      </c>
      <c r="C183" s="224" t="s">
        <v>426</v>
      </c>
      <c r="D183" s="224" t="s">
        <v>428</v>
      </c>
      <c r="E183" s="215" t="s">
        <v>209</v>
      </c>
      <c r="F183" s="215" t="s">
        <v>602</v>
      </c>
      <c r="G183" s="218">
        <v>46310</v>
      </c>
      <c r="H183" s="233">
        <f>N183+O183</f>
        <v>213123.89</v>
      </c>
      <c r="I183" s="88">
        <v>0</v>
      </c>
      <c r="J183" s="28" t="s">
        <v>14</v>
      </c>
      <c r="K183" s="29">
        <f>K185+K184</f>
        <v>223469.71</v>
      </c>
      <c r="L183" s="29">
        <f>L184+L185</f>
        <v>0</v>
      </c>
      <c r="M183" s="29">
        <f t="shared" ref="M183:O183" si="75">M184+M185</f>
        <v>10345.82</v>
      </c>
      <c r="N183" s="29">
        <f>N184+N185</f>
        <v>10656.2</v>
      </c>
      <c r="O183" s="29">
        <f t="shared" si="75"/>
        <v>202467.69</v>
      </c>
      <c r="P183" s="29">
        <f>P184+P185</f>
        <v>0</v>
      </c>
      <c r="Q183" s="29">
        <f>Q184+Q185</f>
        <v>0</v>
      </c>
      <c r="R183" s="224" t="s">
        <v>180</v>
      </c>
      <c r="S183" s="81"/>
    </row>
    <row r="184" spans="1:19" ht="39" customHeight="1" x14ac:dyDescent="0.25">
      <c r="A184" s="224"/>
      <c r="B184" s="224"/>
      <c r="C184" s="224"/>
      <c r="D184" s="224"/>
      <c r="E184" s="216"/>
      <c r="F184" s="216"/>
      <c r="G184" s="216"/>
      <c r="H184" s="233"/>
      <c r="I184" s="88">
        <v>0</v>
      </c>
      <c r="J184" s="28" t="s">
        <v>196</v>
      </c>
      <c r="K184" s="29">
        <f>SUM(L184:P184)</f>
        <v>137500.07999999999</v>
      </c>
      <c r="L184" s="29">
        <v>0</v>
      </c>
      <c r="M184" s="29">
        <v>6455.79</v>
      </c>
      <c r="N184" s="29">
        <v>4704.45</v>
      </c>
      <c r="O184" s="29">
        <v>126339.84</v>
      </c>
      <c r="P184" s="29">
        <v>0</v>
      </c>
      <c r="Q184" s="88">
        <v>0</v>
      </c>
      <c r="R184" s="224"/>
      <c r="S184" s="89"/>
    </row>
    <row r="185" spans="1:19" ht="63.75" customHeight="1" x14ac:dyDescent="0.35">
      <c r="A185" s="224"/>
      <c r="B185" s="224"/>
      <c r="C185" s="224"/>
      <c r="D185" s="224"/>
      <c r="E185" s="217"/>
      <c r="F185" s="217"/>
      <c r="G185" s="217"/>
      <c r="H185" s="233"/>
      <c r="I185" s="88">
        <v>0</v>
      </c>
      <c r="J185" s="28" t="s">
        <v>18</v>
      </c>
      <c r="K185" s="29">
        <f>SUM(L185:P185)</f>
        <v>85969.63</v>
      </c>
      <c r="L185" s="29">
        <v>0</v>
      </c>
      <c r="M185" s="29">
        <v>3890.03</v>
      </c>
      <c r="N185" s="29">
        <v>5951.75</v>
      </c>
      <c r="O185" s="29">
        <v>76127.850000000006</v>
      </c>
      <c r="P185" s="29">
        <v>0</v>
      </c>
      <c r="Q185" s="88">
        <v>0</v>
      </c>
      <c r="R185" s="224"/>
      <c r="S185" s="93"/>
    </row>
    <row r="186" spans="1:19" ht="27" customHeight="1" x14ac:dyDescent="0.25">
      <c r="A186" s="227" t="s">
        <v>402</v>
      </c>
      <c r="B186" s="227"/>
      <c r="C186" s="227"/>
      <c r="D186" s="227"/>
      <c r="E186" s="227"/>
      <c r="F186" s="227"/>
      <c r="G186" s="227"/>
      <c r="H186" s="227"/>
      <c r="I186" s="227"/>
      <c r="J186" s="28" t="s">
        <v>8</v>
      </c>
      <c r="K186" s="1">
        <f>K187+K188</f>
        <v>1344419.0299999998</v>
      </c>
      <c r="L186" s="1">
        <f t="shared" ref="L186" si="76">L187+L188</f>
        <v>0</v>
      </c>
      <c r="M186" s="1">
        <f>M187+M188</f>
        <v>48124.959999999992</v>
      </c>
      <c r="N186" s="1">
        <f>N187+N188</f>
        <v>590552.76</v>
      </c>
      <c r="O186" s="1">
        <f>O187+O188</f>
        <v>705741.31</v>
      </c>
      <c r="P186" s="1">
        <f t="shared" ref="P186:Q186" si="77">P187+P188</f>
        <v>0</v>
      </c>
      <c r="Q186" s="1">
        <f t="shared" si="77"/>
        <v>0</v>
      </c>
      <c r="R186" s="224"/>
      <c r="S186" s="80"/>
    </row>
    <row r="187" spans="1:19" ht="40.5" customHeight="1" x14ac:dyDescent="0.25">
      <c r="A187" s="227"/>
      <c r="B187" s="227"/>
      <c r="C187" s="227"/>
      <c r="D187" s="227"/>
      <c r="E187" s="227"/>
      <c r="F187" s="227"/>
      <c r="G187" s="227"/>
      <c r="H187" s="227"/>
      <c r="I187" s="227"/>
      <c r="J187" s="28" t="s">
        <v>10</v>
      </c>
      <c r="K187" s="1">
        <f>K163+K166+K169+K172+K175+K178+K181+K184</f>
        <v>829869.40999999992</v>
      </c>
      <c r="L187" s="1">
        <f t="shared" ref="L187:P187" si="78">L163+L166+L169+L172+L175+L178+L181+L184</f>
        <v>0</v>
      </c>
      <c r="M187" s="1">
        <f>M163+M166+M169+M172+M175+M178+M181+M184</f>
        <v>30029.979999999996</v>
      </c>
      <c r="N187" s="1">
        <f>N163+N166+N169+N172+N175+N178+N181+N184</f>
        <v>361580.51000000007</v>
      </c>
      <c r="O187" s="1">
        <f>O163+O166+O169+O172+O175+O178+O181+O184</f>
        <v>438258.92000000004</v>
      </c>
      <c r="P187" s="1">
        <f t="shared" si="78"/>
        <v>0</v>
      </c>
      <c r="Q187" s="1">
        <v>0</v>
      </c>
      <c r="R187" s="224"/>
    </row>
    <row r="188" spans="1:19" ht="60" customHeight="1" x14ac:dyDescent="0.25">
      <c r="A188" s="227"/>
      <c r="B188" s="227"/>
      <c r="C188" s="227"/>
      <c r="D188" s="227"/>
      <c r="E188" s="227"/>
      <c r="F188" s="227"/>
      <c r="G188" s="227"/>
      <c r="H188" s="227"/>
      <c r="I188" s="227"/>
      <c r="J188" s="28" t="s">
        <v>11</v>
      </c>
      <c r="K188" s="1">
        <f>K164+K167+K170+K173+K176+K179+K182+K185</f>
        <v>514549.61999999994</v>
      </c>
      <c r="L188" s="1">
        <f t="shared" ref="L188:O188" si="79">L164+L167+L170+L173+L176+L179+L182+L185</f>
        <v>0</v>
      </c>
      <c r="M188" s="1">
        <f>M164+M167+M170+M173+M176+M179+M182+M185</f>
        <v>18094.98</v>
      </c>
      <c r="N188" s="1">
        <f t="shared" si="79"/>
        <v>228972.24999999997</v>
      </c>
      <c r="O188" s="1">
        <f t="shared" si="79"/>
        <v>267482.39</v>
      </c>
      <c r="P188" s="1">
        <f>P164+P167+P170+P173</f>
        <v>0</v>
      </c>
      <c r="Q188" s="1">
        <v>0</v>
      </c>
      <c r="R188" s="224"/>
    </row>
    <row r="189" spans="1:19" ht="25.5" customHeight="1" x14ac:dyDescent="0.25">
      <c r="A189" s="228" t="s">
        <v>584</v>
      </c>
      <c r="B189" s="228"/>
      <c r="C189" s="228"/>
      <c r="D189" s="228"/>
      <c r="E189" s="228"/>
      <c r="F189" s="228"/>
      <c r="G189" s="228"/>
      <c r="H189" s="228"/>
      <c r="I189" s="228"/>
      <c r="J189" s="228"/>
      <c r="K189" s="228"/>
      <c r="L189" s="228"/>
      <c r="M189" s="228"/>
      <c r="N189" s="228"/>
      <c r="O189" s="228"/>
      <c r="P189" s="228"/>
      <c r="Q189" s="228"/>
      <c r="R189" s="228"/>
    </row>
    <row r="190" spans="1:19" ht="25.5" customHeight="1" x14ac:dyDescent="0.25">
      <c r="A190" s="215">
        <v>1</v>
      </c>
      <c r="B190" s="215" t="s">
        <v>585</v>
      </c>
      <c r="C190" s="215" t="s">
        <v>273</v>
      </c>
      <c r="D190" s="215" t="s">
        <v>218</v>
      </c>
      <c r="E190" s="215" t="s">
        <v>598</v>
      </c>
      <c r="F190" s="218" t="s">
        <v>597</v>
      </c>
      <c r="G190" s="218">
        <v>46022</v>
      </c>
      <c r="H190" s="221">
        <f>K190+I190</f>
        <v>1168.2996000000001</v>
      </c>
      <c r="I190" s="29">
        <f>I191+I192</f>
        <v>0</v>
      </c>
      <c r="J190" s="28" t="s">
        <v>14</v>
      </c>
      <c r="K190" s="29">
        <f t="shared" ref="K190:P190" si="80">K191+K192</f>
        <v>1168.2996000000001</v>
      </c>
      <c r="L190" s="29">
        <f t="shared" si="80"/>
        <v>0</v>
      </c>
      <c r="M190" s="29">
        <f t="shared" si="80"/>
        <v>0</v>
      </c>
      <c r="N190" s="29">
        <f t="shared" si="80"/>
        <v>1168.2996000000001</v>
      </c>
      <c r="O190" s="29">
        <f t="shared" si="80"/>
        <v>0</v>
      </c>
      <c r="P190" s="29">
        <f t="shared" si="80"/>
        <v>0</v>
      </c>
      <c r="Q190" s="88">
        <v>0</v>
      </c>
      <c r="R190" s="215" t="s">
        <v>180</v>
      </c>
    </row>
    <row r="191" spans="1:19" ht="45.75" customHeight="1" x14ac:dyDescent="0.4">
      <c r="A191" s="216"/>
      <c r="B191" s="216"/>
      <c r="C191" s="216"/>
      <c r="D191" s="225"/>
      <c r="E191" s="216"/>
      <c r="F191" s="216"/>
      <c r="G191" s="219"/>
      <c r="H191" s="222"/>
      <c r="I191" s="29">
        <v>0</v>
      </c>
      <c r="J191" s="28" t="s">
        <v>196</v>
      </c>
      <c r="K191" s="29">
        <f>L191+M191+N191+O191+P191</f>
        <v>0</v>
      </c>
      <c r="L191" s="29">
        <v>0</v>
      </c>
      <c r="M191" s="29">
        <v>0</v>
      </c>
      <c r="N191" s="29">
        <v>0</v>
      </c>
      <c r="O191" s="29">
        <v>0</v>
      </c>
      <c r="P191" s="29">
        <v>0</v>
      </c>
      <c r="Q191" s="88">
        <v>0</v>
      </c>
      <c r="R191" s="216"/>
      <c r="S191" s="86"/>
    </row>
    <row r="192" spans="1:19" ht="64.5" customHeight="1" x14ac:dyDescent="0.25">
      <c r="A192" s="217"/>
      <c r="B192" s="217"/>
      <c r="C192" s="217"/>
      <c r="D192" s="226"/>
      <c r="E192" s="217"/>
      <c r="F192" s="217"/>
      <c r="G192" s="220"/>
      <c r="H192" s="223"/>
      <c r="I192" s="29">
        <v>0</v>
      </c>
      <c r="J192" s="28" t="s">
        <v>18</v>
      </c>
      <c r="K192" s="29">
        <f>L192+M192+N192+O192+P192</f>
        <v>1168.2996000000001</v>
      </c>
      <c r="L192" s="29">
        <v>0</v>
      </c>
      <c r="M192" s="29">
        <v>0</v>
      </c>
      <c r="N192" s="29">
        <v>1168.2996000000001</v>
      </c>
      <c r="O192" s="29">
        <v>0</v>
      </c>
      <c r="P192" s="29">
        <v>0</v>
      </c>
      <c r="Q192" s="88">
        <v>0</v>
      </c>
      <c r="R192" s="217"/>
    </row>
    <row r="193" spans="1:19" ht="30.75" customHeight="1" x14ac:dyDescent="0.25">
      <c r="A193" s="227" t="s">
        <v>586</v>
      </c>
      <c r="B193" s="227"/>
      <c r="C193" s="227"/>
      <c r="D193" s="227"/>
      <c r="E193" s="227"/>
      <c r="F193" s="227"/>
      <c r="G193" s="227"/>
      <c r="H193" s="227"/>
      <c r="I193" s="227"/>
      <c r="J193" s="28" t="s">
        <v>8</v>
      </c>
      <c r="K193" s="1">
        <f t="shared" ref="K193:P194" si="81">K190</f>
        <v>1168.2996000000001</v>
      </c>
      <c r="L193" s="1">
        <f t="shared" si="81"/>
        <v>0</v>
      </c>
      <c r="M193" s="1">
        <f t="shared" si="81"/>
        <v>0</v>
      </c>
      <c r="N193" s="1">
        <f t="shared" si="81"/>
        <v>1168.2996000000001</v>
      </c>
      <c r="O193" s="1">
        <f t="shared" si="81"/>
        <v>0</v>
      </c>
      <c r="P193" s="1">
        <f t="shared" si="81"/>
        <v>0</v>
      </c>
      <c r="Q193" s="1">
        <v>0</v>
      </c>
      <c r="R193" s="224"/>
    </row>
    <row r="194" spans="1:19" ht="40.5" customHeight="1" x14ac:dyDescent="0.25">
      <c r="A194" s="227"/>
      <c r="B194" s="227"/>
      <c r="C194" s="227"/>
      <c r="D194" s="227"/>
      <c r="E194" s="227"/>
      <c r="F194" s="227"/>
      <c r="G194" s="227"/>
      <c r="H194" s="227"/>
      <c r="I194" s="227"/>
      <c r="J194" s="28" t="s">
        <v>10</v>
      </c>
      <c r="K194" s="1">
        <f t="shared" si="81"/>
        <v>0</v>
      </c>
      <c r="L194" s="1">
        <f t="shared" si="81"/>
        <v>0</v>
      </c>
      <c r="M194" s="1">
        <f t="shared" si="81"/>
        <v>0</v>
      </c>
      <c r="N194" s="1">
        <f t="shared" si="81"/>
        <v>0</v>
      </c>
      <c r="O194" s="1">
        <f t="shared" si="81"/>
        <v>0</v>
      </c>
      <c r="P194" s="1">
        <f t="shared" si="81"/>
        <v>0</v>
      </c>
      <c r="Q194" s="1">
        <v>0</v>
      </c>
      <c r="R194" s="224"/>
    </row>
    <row r="195" spans="1:19" ht="60" customHeight="1" x14ac:dyDescent="0.25">
      <c r="A195" s="227"/>
      <c r="B195" s="227"/>
      <c r="C195" s="227"/>
      <c r="D195" s="227"/>
      <c r="E195" s="227"/>
      <c r="F195" s="227"/>
      <c r="G195" s="227"/>
      <c r="H195" s="227"/>
      <c r="I195" s="227"/>
      <c r="J195" s="28" t="s">
        <v>11</v>
      </c>
      <c r="K195" s="1">
        <f>K192</f>
        <v>1168.2996000000001</v>
      </c>
      <c r="L195" s="1">
        <f t="shared" ref="L195:P195" si="82">L192</f>
        <v>0</v>
      </c>
      <c r="M195" s="1">
        <f t="shared" si="82"/>
        <v>0</v>
      </c>
      <c r="N195" s="1">
        <f t="shared" si="82"/>
        <v>1168.2996000000001</v>
      </c>
      <c r="O195" s="1">
        <f t="shared" si="82"/>
        <v>0</v>
      </c>
      <c r="P195" s="1">
        <f t="shared" si="82"/>
        <v>0</v>
      </c>
      <c r="Q195" s="1">
        <v>0</v>
      </c>
      <c r="R195" s="224"/>
    </row>
    <row r="196" spans="1:19" ht="25.5" customHeight="1" x14ac:dyDescent="0.25">
      <c r="A196" s="228" t="s">
        <v>587</v>
      </c>
      <c r="B196" s="228"/>
      <c r="C196" s="228"/>
      <c r="D196" s="228"/>
      <c r="E196" s="228"/>
      <c r="F196" s="228"/>
      <c r="G196" s="228"/>
      <c r="H196" s="228"/>
      <c r="I196" s="228"/>
      <c r="J196" s="228"/>
      <c r="K196" s="228"/>
      <c r="L196" s="228"/>
      <c r="M196" s="228"/>
      <c r="N196" s="228"/>
      <c r="O196" s="228"/>
      <c r="P196" s="228"/>
      <c r="Q196" s="228"/>
      <c r="R196" s="228"/>
    </row>
    <row r="197" spans="1:19" ht="25.5" customHeight="1" x14ac:dyDescent="0.25">
      <c r="A197" s="215">
        <v>1</v>
      </c>
      <c r="B197" s="215" t="s">
        <v>589</v>
      </c>
      <c r="C197" s="215" t="s">
        <v>393</v>
      </c>
      <c r="D197" s="215" t="s">
        <v>398</v>
      </c>
      <c r="E197" s="215" t="s">
        <v>596</v>
      </c>
      <c r="F197" s="218" t="s">
        <v>599</v>
      </c>
      <c r="G197" s="218">
        <v>46387</v>
      </c>
      <c r="H197" s="221">
        <f>K197+I197</f>
        <v>1962.57187</v>
      </c>
      <c r="I197" s="29">
        <f>I198+I199</f>
        <v>0</v>
      </c>
      <c r="J197" s="28" t="s">
        <v>14</v>
      </c>
      <c r="K197" s="29">
        <f>K198+K199</f>
        <v>1962.57187</v>
      </c>
      <c r="L197" s="29">
        <f t="shared" ref="L197" si="83">L198+L199</f>
        <v>0</v>
      </c>
      <c r="M197" s="29">
        <f>M198+M199</f>
        <v>0</v>
      </c>
      <c r="N197" s="29">
        <f t="shared" ref="N197:P197" si="84">N198+N199</f>
        <v>981.28593999999998</v>
      </c>
      <c r="O197" s="29">
        <f t="shared" si="84"/>
        <v>981.28593000000001</v>
      </c>
      <c r="P197" s="29">
        <f t="shared" si="84"/>
        <v>0</v>
      </c>
      <c r="Q197" s="88">
        <v>0</v>
      </c>
      <c r="R197" s="215" t="s">
        <v>180</v>
      </c>
    </row>
    <row r="198" spans="1:19" ht="45.75" customHeight="1" x14ac:dyDescent="0.4">
      <c r="A198" s="216"/>
      <c r="B198" s="216"/>
      <c r="C198" s="216"/>
      <c r="D198" s="225"/>
      <c r="E198" s="216"/>
      <c r="F198" s="216"/>
      <c r="G198" s="219"/>
      <c r="H198" s="222"/>
      <c r="I198" s="29">
        <v>0</v>
      </c>
      <c r="J198" s="28" t="s">
        <v>196</v>
      </c>
      <c r="K198" s="29">
        <f>L198+M198+N198+O198+P198</f>
        <v>0</v>
      </c>
      <c r="L198" s="29">
        <v>0</v>
      </c>
      <c r="M198" s="29">
        <v>0</v>
      </c>
      <c r="N198" s="29">
        <v>0</v>
      </c>
      <c r="O198" s="29">
        <v>0</v>
      </c>
      <c r="P198" s="29">
        <v>0</v>
      </c>
      <c r="Q198" s="88">
        <v>0</v>
      </c>
      <c r="R198" s="216"/>
      <c r="S198" s="86"/>
    </row>
    <row r="199" spans="1:19" ht="64.5" customHeight="1" x14ac:dyDescent="0.25">
      <c r="A199" s="217"/>
      <c r="B199" s="217"/>
      <c r="C199" s="217"/>
      <c r="D199" s="226"/>
      <c r="E199" s="217"/>
      <c r="F199" s="217"/>
      <c r="G199" s="220"/>
      <c r="H199" s="223"/>
      <c r="I199" s="29">
        <v>0</v>
      </c>
      <c r="J199" s="28" t="s">
        <v>18</v>
      </c>
      <c r="K199" s="29">
        <f>L199+M199+N199+O199+P199</f>
        <v>1962.57187</v>
      </c>
      <c r="L199" s="29">
        <v>0</v>
      </c>
      <c r="M199" s="29">
        <v>0</v>
      </c>
      <c r="N199" s="29">
        <v>981.28593999999998</v>
      </c>
      <c r="O199" s="29">
        <v>981.28593000000001</v>
      </c>
      <c r="P199" s="29"/>
      <c r="Q199" s="88">
        <v>0</v>
      </c>
      <c r="R199" s="217"/>
    </row>
    <row r="200" spans="1:19" ht="25.5" customHeight="1" x14ac:dyDescent="0.25">
      <c r="A200" s="215">
        <v>2</v>
      </c>
      <c r="B200" s="215" t="s">
        <v>590</v>
      </c>
      <c r="C200" s="224" t="s">
        <v>375</v>
      </c>
      <c r="D200" s="215" t="s">
        <v>369</v>
      </c>
      <c r="E200" s="215" t="s">
        <v>596</v>
      </c>
      <c r="F200" s="218" t="s">
        <v>599</v>
      </c>
      <c r="G200" s="218">
        <v>46387</v>
      </c>
      <c r="H200" s="221">
        <f>K200+I200</f>
        <v>132.60484</v>
      </c>
      <c r="I200" s="29">
        <f>I201+I202</f>
        <v>0</v>
      </c>
      <c r="J200" s="28" t="s">
        <v>14</v>
      </c>
      <c r="K200" s="29">
        <f>K201+K202</f>
        <v>132.60484</v>
      </c>
      <c r="L200" s="29">
        <f t="shared" ref="L200" si="85">L201+L202</f>
        <v>0</v>
      </c>
      <c r="M200" s="29">
        <f>M201+M202</f>
        <v>0</v>
      </c>
      <c r="N200" s="29">
        <f t="shared" ref="N200:P200" si="86">N201+N202</f>
        <v>66.302419999999998</v>
      </c>
      <c r="O200" s="29">
        <f t="shared" si="86"/>
        <v>66.302419999999998</v>
      </c>
      <c r="P200" s="29">
        <f t="shared" si="86"/>
        <v>0</v>
      </c>
      <c r="Q200" s="88">
        <v>0</v>
      </c>
      <c r="R200" s="215" t="s">
        <v>180</v>
      </c>
    </row>
    <row r="201" spans="1:19" ht="45.75" customHeight="1" x14ac:dyDescent="0.4">
      <c r="A201" s="216"/>
      <c r="B201" s="216"/>
      <c r="C201" s="224"/>
      <c r="D201" s="216"/>
      <c r="E201" s="216"/>
      <c r="F201" s="216"/>
      <c r="G201" s="219"/>
      <c r="H201" s="222"/>
      <c r="I201" s="29">
        <v>0</v>
      </c>
      <c r="J201" s="28" t="s">
        <v>196</v>
      </c>
      <c r="K201" s="29">
        <f>L201+M201+N201+O201+P201</f>
        <v>0</v>
      </c>
      <c r="L201" s="29">
        <v>0</v>
      </c>
      <c r="M201" s="29">
        <v>0</v>
      </c>
      <c r="N201" s="29">
        <v>0</v>
      </c>
      <c r="O201" s="29">
        <v>0</v>
      </c>
      <c r="P201" s="29">
        <v>0</v>
      </c>
      <c r="Q201" s="88">
        <v>0</v>
      </c>
      <c r="R201" s="216"/>
      <c r="S201" s="86"/>
    </row>
    <row r="202" spans="1:19" ht="64.5" customHeight="1" x14ac:dyDescent="0.25">
      <c r="A202" s="217"/>
      <c r="B202" s="217"/>
      <c r="C202" s="224"/>
      <c r="D202" s="217"/>
      <c r="E202" s="217"/>
      <c r="F202" s="217"/>
      <c r="G202" s="220"/>
      <c r="H202" s="223"/>
      <c r="I202" s="29">
        <v>0</v>
      </c>
      <c r="J202" s="28" t="s">
        <v>18</v>
      </c>
      <c r="K202" s="29">
        <f>L202+M202+N202+O202+P202</f>
        <v>132.60484</v>
      </c>
      <c r="L202" s="29">
        <v>0</v>
      </c>
      <c r="M202" s="29">
        <v>0</v>
      </c>
      <c r="N202" s="29">
        <v>66.302419999999998</v>
      </c>
      <c r="O202" s="29">
        <v>66.302419999999998</v>
      </c>
      <c r="P202" s="29">
        <v>0</v>
      </c>
      <c r="Q202" s="88">
        <v>0</v>
      </c>
      <c r="R202" s="217"/>
    </row>
    <row r="203" spans="1:19" ht="25.5" customHeight="1" x14ac:dyDescent="0.25">
      <c r="A203" s="215">
        <v>3</v>
      </c>
      <c r="B203" s="215" t="s">
        <v>385</v>
      </c>
      <c r="C203" s="215" t="s">
        <v>386</v>
      </c>
      <c r="D203" s="215" t="s">
        <v>417</v>
      </c>
      <c r="E203" s="215" t="s">
        <v>596</v>
      </c>
      <c r="F203" s="218" t="s">
        <v>599</v>
      </c>
      <c r="G203" s="218">
        <v>45945</v>
      </c>
      <c r="H203" s="221">
        <f>K203+I203</f>
        <v>23827.09045</v>
      </c>
      <c r="I203" s="29">
        <f>I204+I205</f>
        <v>0</v>
      </c>
      <c r="J203" s="28" t="s">
        <v>14</v>
      </c>
      <c r="K203" s="29">
        <f>K204+K205</f>
        <v>23827.09045</v>
      </c>
      <c r="L203" s="29">
        <f t="shared" ref="L203" si="87">L204+L205</f>
        <v>0</v>
      </c>
      <c r="M203" s="29">
        <f>M204+M205</f>
        <v>0</v>
      </c>
      <c r="N203" s="29">
        <f t="shared" ref="N203:P203" si="88">N204+N205</f>
        <v>18174.20148</v>
      </c>
      <c r="O203" s="29">
        <f t="shared" si="88"/>
        <v>5652.88897</v>
      </c>
      <c r="P203" s="29">
        <f t="shared" si="88"/>
        <v>0</v>
      </c>
      <c r="Q203" s="88">
        <v>0</v>
      </c>
      <c r="R203" s="215" t="s">
        <v>180</v>
      </c>
    </row>
    <row r="204" spans="1:19" ht="45.75" customHeight="1" x14ac:dyDescent="0.4">
      <c r="A204" s="216"/>
      <c r="B204" s="216"/>
      <c r="C204" s="216"/>
      <c r="D204" s="225"/>
      <c r="E204" s="216"/>
      <c r="F204" s="216"/>
      <c r="G204" s="219"/>
      <c r="H204" s="222"/>
      <c r="I204" s="29">
        <v>0</v>
      </c>
      <c r="J204" s="28" t="s">
        <v>196</v>
      </c>
      <c r="K204" s="29">
        <f>L204+M204+N204+O204+P204</f>
        <v>0</v>
      </c>
      <c r="L204" s="29">
        <v>0</v>
      </c>
      <c r="M204" s="29">
        <v>0</v>
      </c>
      <c r="N204" s="29">
        <v>0</v>
      </c>
      <c r="O204" s="29">
        <v>0</v>
      </c>
      <c r="P204" s="29">
        <v>0</v>
      </c>
      <c r="Q204" s="88">
        <v>0</v>
      </c>
      <c r="R204" s="216"/>
      <c r="S204" s="86"/>
    </row>
    <row r="205" spans="1:19" ht="64.5" customHeight="1" x14ac:dyDescent="0.25">
      <c r="A205" s="217"/>
      <c r="B205" s="217"/>
      <c r="C205" s="217"/>
      <c r="D205" s="226"/>
      <c r="E205" s="217"/>
      <c r="F205" s="217"/>
      <c r="G205" s="220"/>
      <c r="H205" s="223"/>
      <c r="I205" s="29">
        <v>0</v>
      </c>
      <c r="J205" s="28" t="s">
        <v>18</v>
      </c>
      <c r="K205" s="29">
        <f>L205+M205+N205+O205+P205</f>
        <v>23827.09045</v>
      </c>
      <c r="L205" s="29">
        <v>0</v>
      </c>
      <c r="M205" s="29">
        <v>0</v>
      </c>
      <c r="N205" s="29">
        <v>18174.20148</v>
      </c>
      <c r="O205" s="29">
        <v>5652.88897</v>
      </c>
      <c r="P205" s="29">
        <v>0</v>
      </c>
      <c r="Q205" s="88">
        <v>0</v>
      </c>
      <c r="R205" s="217"/>
    </row>
    <row r="206" spans="1:19" ht="30.75" customHeight="1" x14ac:dyDescent="0.25">
      <c r="A206" s="227" t="s">
        <v>588</v>
      </c>
      <c r="B206" s="227"/>
      <c r="C206" s="227"/>
      <c r="D206" s="227"/>
      <c r="E206" s="227"/>
      <c r="F206" s="227"/>
      <c r="G206" s="227"/>
      <c r="H206" s="227"/>
      <c r="I206" s="227"/>
      <c r="J206" s="28" t="s">
        <v>8</v>
      </c>
      <c r="K206" s="1">
        <f>K197+K200+K203</f>
        <v>25922.267159999999</v>
      </c>
      <c r="L206" s="1">
        <f t="shared" ref="L206" si="89">L197</f>
        <v>0</v>
      </c>
      <c r="M206" s="1">
        <f>M197</f>
        <v>0</v>
      </c>
      <c r="N206" s="1">
        <f>N197+N200+N203</f>
        <v>19221.789840000001</v>
      </c>
      <c r="O206" s="1">
        <f>O197+O200+O203</f>
        <v>6700.47732</v>
      </c>
      <c r="P206" s="1">
        <f t="shared" ref="P206" si="90">P197</f>
        <v>0</v>
      </c>
      <c r="Q206" s="1">
        <v>0</v>
      </c>
      <c r="R206" s="224"/>
    </row>
    <row r="207" spans="1:19" ht="40.5" customHeight="1" x14ac:dyDescent="0.25">
      <c r="A207" s="227"/>
      <c r="B207" s="227"/>
      <c r="C207" s="227"/>
      <c r="D207" s="227"/>
      <c r="E207" s="227"/>
      <c r="F207" s="227"/>
      <c r="G207" s="227"/>
      <c r="H207" s="227"/>
      <c r="I207" s="227"/>
      <c r="J207" s="28" t="s">
        <v>10</v>
      </c>
      <c r="K207" s="1">
        <f>K198</f>
        <v>0</v>
      </c>
      <c r="L207" s="1">
        <f t="shared" ref="L207" si="91">L198</f>
        <v>0</v>
      </c>
      <c r="M207" s="1">
        <f>M198</f>
        <v>0</v>
      </c>
      <c r="N207" s="1">
        <f t="shared" ref="N207:P207" si="92">N198</f>
        <v>0</v>
      </c>
      <c r="O207" s="1">
        <f t="shared" si="92"/>
        <v>0</v>
      </c>
      <c r="P207" s="1">
        <f t="shared" si="92"/>
        <v>0</v>
      </c>
      <c r="Q207" s="1">
        <v>0</v>
      </c>
      <c r="R207" s="224"/>
    </row>
    <row r="208" spans="1:19" ht="60" customHeight="1" x14ac:dyDescent="0.25">
      <c r="A208" s="227"/>
      <c r="B208" s="227"/>
      <c r="C208" s="227"/>
      <c r="D208" s="227"/>
      <c r="E208" s="227"/>
      <c r="F208" s="227"/>
      <c r="G208" s="227"/>
      <c r="H208" s="227"/>
      <c r="I208" s="227"/>
      <c r="J208" s="28" t="s">
        <v>11</v>
      </c>
      <c r="K208" s="1">
        <f>K199+K202+K205</f>
        <v>25922.267159999999</v>
      </c>
      <c r="L208" s="1">
        <f t="shared" ref="L208:P208" si="93">L199</f>
        <v>0</v>
      </c>
      <c r="M208" s="1">
        <f t="shared" si="93"/>
        <v>0</v>
      </c>
      <c r="N208" s="1">
        <f>N199+N202+N205</f>
        <v>19221.789840000001</v>
      </c>
      <c r="O208" s="1">
        <f>O199+O202+O205</f>
        <v>6700.47732</v>
      </c>
      <c r="P208" s="1">
        <f t="shared" si="93"/>
        <v>0</v>
      </c>
      <c r="Q208" s="1">
        <v>0</v>
      </c>
      <c r="R208" s="224"/>
    </row>
    <row r="209" spans="1:19" ht="25.5" customHeight="1" x14ac:dyDescent="0.3">
      <c r="A209" s="235" t="s">
        <v>78</v>
      </c>
      <c r="B209" s="235"/>
      <c r="C209" s="235"/>
      <c r="D209" s="235"/>
      <c r="E209" s="235"/>
      <c r="F209" s="235"/>
      <c r="G209" s="235"/>
      <c r="H209" s="235"/>
      <c r="I209" s="235"/>
      <c r="J209" s="235"/>
      <c r="K209" s="235"/>
      <c r="L209" s="235"/>
      <c r="M209" s="235"/>
      <c r="N209" s="235"/>
      <c r="O209" s="235"/>
      <c r="P209" s="235"/>
      <c r="Q209" s="235"/>
      <c r="R209" s="235"/>
    </row>
    <row r="210" spans="1:19" ht="22.5" customHeight="1" x14ac:dyDescent="0.25">
      <c r="A210" s="215">
        <v>1</v>
      </c>
      <c r="B210" s="224" t="s">
        <v>551</v>
      </c>
      <c r="C210" s="224" t="s">
        <v>610</v>
      </c>
      <c r="D210" s="215" t="s">
        <v>222</v>
      </c>
      <c r="E210" s="215" t="s">
        <v>223</v>
      </c>
      <c r="F210" s="215" t="s">
        <v>539</v>
      </c>
      <c r="G210" s="218">
        <v>46356</v>
      </c>
      <c r="H210" s="233">
        <f>K210</f>
        <v>119340.34000000001</v>
      </c>
      <c r="I210" s="88">
        <v>0</v>
      </c>
      <c r="J210" s="28" t="s">
        <v>14</v>
      </c>
      <c r="K210" s="29">
        <f>K212+K211</f>
        <v>119340.34000000001</v>
      </c>
      <c r="L210" s="29">
        <f>L211+L212</f>
        <v>0</v>
      </c>
      <c r="M210" s="29">
        <f t="shared" ref="M210:P210" si="94">M211+M212</f>
        <v>0</v>
      </c>
      <c r="N210" s="29">
        <f>N211+N212</f>
        <v>35802.100000000006</v>
      </c>
      <c r="O210" s="29">
        <f t="shared" si="94"/>
        <v>83538.240000000005</v>
      </c>
      <c r="P210" s="29">
        <f t="shared" si="94"/>
        <v>0</v>
      </c>
      <c r="Q210" s="88">
        <v>0</v>
      </c>
      <c r="R210" s="224" t="s">
        <v>180</v>
      </c>
    </row>
    <row r="211" spans="1:19" ht="45" customHeight="1" x14ac:dyDescent="0.25">
      <c r="A211" s="216"/>
      <c r="B211" s="224"/>
      <c r="C211" s="224"/>
      <c r="D211" s="216"/>
      <c r="E211" s="216"/>
      <c r="F211" s="216"/>
      <c r="G211" s="216"/>
      <c r="H211" s="233"/>
      <c r="I211" s="88">
        <v>0</v>
      </c>
      <c r="J211" s="28" t="s">
        <v>196</v>
      </c>
      <c r="K211" s="29">
        <f>SUM(L211:P211)</f>
        <v>74587.710000000006</v>
      </c>
      <c r="L211" s="29">
        <v>0</v>
      </c>
      <c r="M211" s="29">
        <v>0</v>
      </c>
      <c r="N211" s="29">
        <v>22376.31</v>
      </c>
      <c r="O211" s="29">
        <v>52211.4</v>
      </c>
      <c r="P211" s="29">
        <v>0</v>
      </c>
      <c r="Q211" s="88">
        <v>0</v>
      </c>
      <c r="R211" s="224"/>
    </row>
    <row r="212" spans="1:19" ht="59.25" customHeight="1" x14ac:dyDescent="0.25">
      <c r="A212" s="217"/>
      <c r="B212" s="224"/>
      <c r="C212" s="224"/>
      <c r="D212" s="217"/>
      <c r="E212" s="217"/>
      <c r="F212" s="217"/>
      <c r="G212" s="217"/>
      <c r="H212" s="233"/>
      <c r="I212" s="88">
        <v>0</v>
      </c>
      <c r="J212" s="28" t="s">
        <v>18</v>
      </c>
      <c r="K212" s="29">
        <f>SUM(L212:P212)</f>
        <v>44752.630000000005</v>
      </c>
      <c r="L212" s="29">
        <v>0</v>
      </c>
      <c r="M212" s="29">
        <v>0</v>
      </c>
      <c r="N212" s="29">
        <v>13425.79</v>
      </c>
      <c r="O212" s="29">
        <v>31326.84</v>
      </c>
      <c r="P212" s="29">
        <v>0</v>
      </c>
      <c r="Q212" s="88">
        <v>0</v>
      </c>
      <c r="R212" s="224"/>
    </row>
    <row r="213" spans="1:19" ht="52.5" customHeight="1" x14ac:dyDescent="0.25">
      <c r="A213" s="215">
        <v>2</v>
      </c>
      <c r="B213" s="224" t="s">
        <v>452</v>
      </c>
      <c r="C213" s="224" t="s">
        <v>108</v>
      </c>
      <c r="D213" s="215" t="s">
        <v>222</v>
      </c>
      <c r="E213" s="215" t="s">
        <v>453</v>
      </c>
      <c r="F213" s="215" t="s">
        <v>454</v>
      </c>
      <c r="G213" s="218">
        <v>46022</v>
      </c>
      <c r="H213" s="233">
        <f>K213</f>
        <v>4230</v>
      </c>
      <c r="I213" s="88">
        <v>0</v>
      </c>
      <c r="J213" s="28" t="s">
        <v>14</v>
      </c>
      <c r="K213" s="29">
        <f>K215+K214</f>
        <v>4230</v>
      </c>
      <c r="L213" s="29">
        <f>L214+L215</f>
        <v>0</v>
      </c>
      <c r="M213" s="29">
        <f t="shared" ref="M213" si="95">M214+M215</f>
        <v>0</v>
      </c>
      <c r="N213" s="29">
        <f>N214+N215</f>
        <v>4230</v>
      </c>
      <c r="O213" s="29">
        <f t="shared" ref="O213:P213" si="96">O214+O215</f>
        <v>0</v>
      </c>
      <c r="P213" s="29">
        <f t="shared" si="96"/>
        <v>0</v>
      </c>
      <c r="Q213" s="88">
        <v>0</v>
      </c>
      <c r="R213" s="224" t="s">
        <v>180</v>
      </c>
    </row>
    <row r="214" spans="1:19" ht="45" customHeight="1" x14ac:dyDescent="0.25">
      <c r="A214" s="216"/>
      <c r="B214" s="224"/>
      <c r="C214" s="224"/>
      <c r="D214" s="216"/>
      <c r="E214" s="216"/>
      <c r="F214" s="216"/>
      <c r="G214" s="216"/>
      <c r="H214" s="233"/>
      <c r="I214" s="88">
        <v>0</v>
      </c>
      <c r="J214" s="28" t="s">
        <v>196</v>
      </c>
      <c r="K214" s="29">
        <f>SUM(L214:P214)</f>
        <v>0</v>
      </c>
      <c r="L214" s="29">
        <v>0</v>
      </c>
      <c r="M214" s="29">
        <v>0</v>
      </c>
      <c r="N214" s="29">
        <v>0</v>
      </c>
      <c r="O214" s="29">
        <v>0</v>
      </c>
      <c r="P214" s="29">
        <v>0</v>
      </c>
      <c r="Q214" s="88">
        <v>0</v>
      </c>
      <c r="R214" s="224"/>
    </row>
    <row r="215" spans="1:19" ht="64.5" customHeight="1" x14ac:dyDescent="0.25">
      <c r="A215" s="217"/>
      <c r="B215" s="224"/>
      <c r="C215" s="224"/>
      <c r="D215" s="217"/>
      <c r="E215" s="217"/>
      <c r="F215" s="217"/>
      <c r="G215" s="217"/>
      <c r="H215" s="233"/>
      <c r="I215" s="88">
        <v>0</v>
      </c>
      <c r="J215" s="28" t="s">
        <v>18</v>
      </c>
      <c r="K215" s="29">
        <f>SUM(L215:P215)</f>
        <v>4230</v>
      </c>
      <c r="L215" s="29">
        <v>0</v>
      </c>
      <c r="M215" s="29">
        <v>0</v>
      </c>
      <c r="N215" s="29">
        <f>4700-470</f>
        <v>4230</v>
      </c>
      <c r="O215" s="29">
        <v>0</v>
      </c>
      <c r="P215" s="29">
        <v>0</v>
      </c>
      <c r="Q215" s="88">
        <v>0</v>
      </c>
      <c r="R215" s="224"/>
    </row>
    <row r="216" spans="1:19" ht="27.75" customHeight="1" x14ac:dyDescent="0.25">
      <c r="A216" s="215">
        <v>3</v>
      </c>
      <c r="B216" s="224" t="s">
        <v>224</v>
      </c>
      <c r="C216" s="224" t="s">
        <v>225</v>
      </c>
      <c r="D216" s="215" t="s">
        <v>226</v>
      </c>
      <c r="E216" s="215" t="s">
        <v>227</v>
      </c>
      <c r="F216" s="215" t="s">
        <v>496</v>
      </c>
      <c r="G216" s="218">
        <v>47087</v>
      </c>
      <c r="H216" s="233">
        <v>1914710.34</v>
      </c>
      <c r="I216" s="88">
        <v>0</v>
      </c>
      <c r="J216" s="28" t="s">
        <v>14</v>
      </c>
      <c r="K216" s="29">
        <f>K217+K218</f>
        <v>823939.45</v>
      </c>
      <c r="L216" s="29">
        <f t="shared" ref="L216:P216" si="97">L217+L218</f>
        <v>12537.93</v>
      </c>
      <c r="M216" s="29">
        <v>0</v>
      </c>
      <c r="N216" s="29">
        <f>N217+N218</f>
        <v>0</v>
      </c>
      <c r="O216" s="29">
        <f>O217+O218</f>
        <v>134580.74</v>
      </c>
      <c r="P216" s="29">
        <f t="shared" si="97"/>
        <v>676820.78</v>
      </c>
      <c r="Q216" s="88">
        <v>0</v>
      </c>
      <c r="R216" s="224" t="s">
        <v>180</v>
      </c>
    </row>
    <row r="217" spans="1:19" ht="43.5" customHeight="1" x14ac:dyDescent="0.3">
      <c r="A217" s="216"/>
      <c r="B217" s="224"/>
      <c r="C217" s="224"/>
      <c r="D217" s="216"/>
      <c r="E217" s="216"/>
      <c r="F217" s="216"/>
      <c r="G217" s="216"/>
      <c r="H217" s="233"/>
      <c r="I217" s="88">
        <v>0</v>
      </c>
      <c r="J217" s="28" t="s">
        <v>196</v>
      </c>
      <c r="K217" s="29">
        <f>L217+M217+N217+O217+P217</f>
        <v>589256</v>
      </c>
      <c r="L217" s="29">
        <v>7861.28</v>
      </c>
      <c r="M217" s="29">
        <v>0</v>
      </c>
      <c r="N217" s="29">
        <v>0</v>
      </c>
      <c r="O217" s="29">
        <v>133234.93</v>
      </c>
      <c r="P217" s="29">
        <v>448159.79</v>
      </c>
      <c r="Q217" s="88">
        <v>0</v>
      </c>
      <c r="R217" s="224"/>
      <c r="S217" s="84"/>
    </row>
    <row r="218" spans="1:19" ht="62.25" customHeight="1" x14ac:dyDescent="0.25">
      <c r="A218" s="217"/>
      <c r="B218" s="224"/>
      <c r="C218" s="224"/>
      <c r="D218" s="217"/>
      <c r="E218" s="217"/>
      <c r="F218" s="217"/>
      <c r="G218" s="217"/>
      <c r="H218" s="233"/>
      <c r="I218" s="88">
        <v>0</v>
      </c>
      <c r="J218" s="28" t="s">
        <v>18</v>
      </c>
      <c r="K218" s="29">
        <f>L218+M218+N218+O218+P218</f>
        <v>234683.44999999998</v>
      </c>
      <c r="L218" s="29">
        <v>4676.6499999999996</v>
      </c>
      <c r="M218" s="29">
        <v>0</v>
      </c>
      <c r="N218" s="29">
        <v>0</v>
      </c>
      <c r="O218" s="29">
        <v>1345.81</v>
      </c>
      <c r="P218" s="29">
        <v>228660.99</v>
      </c>
      <c r="Q218" s="88">
        <v>0</v>
      </c>
      <c r="R218" s="224"/>
    </row>
    <row r="219" spans="1:19" ht="27.75" customHeight="1" x14ac:dyDescent="0.25">
      <c r="A219" s="224">
        <v>4</v>
      </c>
      <c r="B219" s="224" t="s">
        <v>66</v>
      </c>
      <c r="C219" s="224" t="s">
        <v>228</v>
      </c>
      <c r="D219" s="224" t="s">
        <v>229</v>
      </c>
      <c r="E219" s="224" t="s">
        <v>213</v>
      </c>
      <c r="F219" s="224" t="s">
        <v>108</v>
      </c>
      <c r="G219" s="230" t="s">
        <v>108</v>
      </c>
      <c r="H219" s="233">
        <f>K219</f>
        <v>0</v>
      </c>
      <c r="I219" s="88">
        <v>0</v>
      </c>
      <c r="J219" s="28" t="s">
        <v>14</v>
      </c>
      <c r="K219" s="29">
        <f>K220+K221</f>
        <v>0</v>
      </c>
      <c r="L219" s="29">
        <f t="shared" ref="L219:P219" si="98">L220+L221</f>
        <v>0</v>
      </c>
      <c r="M219" s="29">
        <f t="shared" si="98"/>
        <v>0</v>
      </c>
      <c r="N219" s="29">
        <f t="shared" si="98"/>
        <v>0</v>
      </c>
      <c r="O219" s="29">
        <f t="shared" si="98"/>
        <v>0</v>
      </c>
      <c r="P219" s="29">
        <f t="shared" si="98"/>
        <v>0</v>
      </c>
      <c r="Q219" s="88">
        <v>0</v>
      </c>
      <c r="R219" s="224" t="s">
        <v>180</v>
      </c>
    </row>
    <row r="220" spans="1:19" ht="38.25" customHeight="1" x14ac:dyDescent="0.25">
      <c r="A220" s="224"/>
      <c r="B220" s="224"/>
      <c r="C220" s="224"/>
      <c r="D220" s="234"/>
      <c r="E220" s="224"/>
      <c r="F220" s="224"/>
      <c r="G220" s="224"/>
      <c r="H220" s="233"/>
      <c r="I220" s="88">
        <v>0</v>
      </c>
      <c r="J220" s="28" t="s">
        <v>196</v>
      </c>
      <c r="K220" s="29">
        <f>L220+M220+N220+O220+P220</f>
        <v>0</v>
      </c>
      <c r="L220" s="29">
        <v>0</v>
      </c>
      <c r="M220" s="29">
        <v>0</v>
      </c>
      <c r="N220" s="29">
        <v>0</v>
      </c>
      <c r="O220" s="29">
        <v>0</v>
      </c>
      <c r="P220" s="29">
        <v>0</v>
      </c>
      <c r="Q220" s="88">
        <v>0</v>
      </c>
      <c r="R220" s="224"/>
    </row>
    <row r="221" spans="1:19" ht="77.25" customHeight="1" x14ac:dyDescent="0.25">
      <c r="A221" s="224"/>
      <c r="B221" s="224"/>
      <c r="C221" s="224"/>
      <c r="D221" s="234"/>
      <c r="E221" s="224"/>
      <c r="F221" s="224"/>
      <c r="G221" s="224"/>
      <c r="H221" s="233"/>
      <c r="I221" s="88">
        <v>0</v>
      </c>
      <c r="J221" s="28" t="s">
        <v>18</v>
      </c>
      <c r="K221" s="29">
        <f>L221+M221+N221+O221+P221</f>
        <v>0</v>
      </c>
      <c r="L221" s="29">
        <v>0</v>
      </c>
      <c r="M221" s="29">
        <v>0</v>
      </c>
      <c r="N221" s="29">
        <v>0</v>
      </c>
      <c r="O221" s="29">
        <v>0</v>
      </c>
      <c r="P221" s="29">
        <v>0</v>
      </c>
      <c r="Q221" s="88">
        <v>0</v>
      </c>
      <c r="R221" s="224"/>
    </row>
    <row r="222" spans="1:19" ht="28.5" customHeight="1" x14ac:dyDescent="0.25">
      <c r="A222" s="224">
        <v>5</v>
      </c>
      <c r="B222" s="224" t="s">
        <v>403</v>
      </c>
      <c r="C222" s="224" t="s">
        <v>230</v>
      </c>
      <c r="D222" s="224" t="s">
        <v>231</v>
      </c>
      <c r="E222" s="224" t="s">
        <v>333</v>
      </c>
      <c r="F222" s="224" t="s">
        <v>521</v>
      </c>
      <c r="G222" s="230">
        <v>46022</v>
      </c>
      <c r="H222" s="233">
        <f>K222</f>
        <v>9990</v>
      </c>
      <c r="I222" s="88">
        <v>0</v>
      </c>
      <c r="J222" s="28" t="s">
        <v>14</v>
      </c>
      <c r="K222" s="29">
        <f>K223+K224</f>
        <v>9990</v>
      </c>
      <c r="L222" s="29">
        <f t="shared" ref="L222:P222" si="99">L223+L224</f>
        <v>0</v>
      </c>
      <c r="M222" s="29">
        <f t="shared" si="99"/>
        <v>0</v>
      </c>
      <c r="N222" s="29">
        <f t="shared" si="99"/>
        <v>9990</v>
      </c>
      <c r="O222" s="29">
        <f t="shared" si="99"/>
        <v>0</v>
      </c>
      <c r="P222" s="29">
        <f t="shared" si="99"/>
        <v>0</v>
      </c>
      <c r="Q222" s="88">
        <v>0</v>
      </c>
      <c r="R222" s="224" t="s">
        <v>180</v>
      </c>
    </row>
    <row r="223" spans="1:19" ht="42.75" customHeight="1" x14ac:dyDescent="0.25">
      <c r="A223" s="224"/>
      <c r="B223" s="224"/>
      <c r="C223" s="224"/>
      <c r="D223" s="234"/>
      <c r="E223" s="224"/>
      <c r="F223" s="224"/>
      <c r="G223" s="224"/>
      <c r="H223" s="233"/>
      <c r="I223" s="88">
        <v>0</v>
      </c>
      <c r="J223" s="28" t="s">
        <v>196</v>
      </c>
      <c r="K223" s="29">
        <f>L223+M223+N223+O223+P223</f>
        <v>0</v>
      </c>
      <c r="L223" s="29">
        <v>0</v>
      </c>
      <c r="M223" s="29">
        <v>0</v>
      </c>
      <c r="N223" s="29">
        <v>0</v>
      </c>
      <c r="O223" s="29">
        <v>0</v>
      </c>
      <c r="P223" s="29">
        <v>0</v>
      </c>
      <c r="Q223" s="88">
        <v>0</v>
      </c>
      <c r="R223" s="224"/>
    </row>
    <row r="224" spans="1:19" ht="60" customHeight="1" x14ac:dyDescent="0.25">
      <c r="A224" s="224"/>
      <c r="B224" s="224"/>
      <c r="C224" s="224"/>
      <c r="D224" s="234"/>
      <c r="E224" s="224"/>
      <c r="F224" s="224"/>
      <c r="G224" s="224"/>
      <c r="H224" s="233"/>
      <c r="I224" s="88">
        <v>0</v>
      </c>
      <c r="J224" s="28" t="s">
        <v>18</v>
      </c>
      <c r="K224" s="29">
        <f>L224+M224+N224+O224+P224</f>
        <v>9990</v>
      </c>
      <c r="L224" s="29">
        <v>0</v>
      </c>
      <c r="M224" s="29">
        <v>0</v>
      </c>
      <c r="N224" s="29">
        <v>9990</v>
      </c>
      <c r="O224" s="29">
        <v>0</v>
      </c>
      <c r="P224" s="29">
        <v>0</v>
      </c>
      <c r="Q224" s="88">
        <v>0</v>
      </c>
      <c r="R224" s="224"/>
    </row>
    <row r="225" spans="1:19" ht="31.5" customHeight="1" x14ac:dyDescent="0.25">
      <c r="A225" s="224">
        <v>6</v>
      </c>
      <c r="B225" s="224" t="s">
        <v>160</v>
      </c>
      <c r="C225" s="224" t="s">
        <v>232</v>
      </c>
      <c r="D225" s="224" t="s">
        <v>233</v>
      </c>
      <c r="E225" s="224" t="s">
        <v>333</v>
      </c>
      <c r="F225" s="224" t="s">
        <v>521</v>
      </c>
      <c r="G225" s="230">
        <v>46022</v>
      </c>
      <c r="H225" s="233">
        <f>K225</f>
        <v>14999</v>
      </c>
      <c r="I225" s="88">
        <v>0</v>
      </c>
      <c r="J225" s="28" t="s">
        <v>14</v>
      </c>
      <c r="K225" s="29">
        <f>K226+K227</f>
        <v>14999</v>
      </c>
      <c r="L225" s="29">
        <f t="shared" ref="L225:P225" si="100">L226+L227</f>
        <v>0</v>
      </c>
      <c r="M225" s="29">
        <f t="shared" si="100"/>
        <v>0</v>
      </c>
      <c r="N225" s="29">
        <f t="shared" si="100"/>
        <v>14999</v>
      </c>
      <c r="O225" s="29">
        <f t="shared" si="100"/>
        <v>0</v>
      </c>
      <c r="P225" s="29">
        <f t="shared" si="100"/>
        <v>0</v>
      </c>
      <c r="Q225" s="88">
        <v>0</v>
      </c>
      <c r="R225" s="224" t="s">
        <v>180</v>
      </c>
    </row>
    <row r="226" spans="1:19" ht="64.5" customHeight="1" x14ac:dyDescent="0.25">
      <c r="A226" s="224"/>
      <c r="B226" s="224"/>
      <c r="C226" s="224"/>
      <c r="D226" s="234"/>
      <c r="E226" s="224"/>
      <c r="F226" s="224"/>
      <c r="G226" s="224"/>
      <c r="H226" s="233"/>
      <c r="I226" s="88">
        <v>0</v>
      </c>
      <c r="J226" s="28" t="s">
        <v>196</v>
      </c>
      <c r="K226" s="29">
        <f>L226+M226+N226+O226+P226</f>
        <v>0</v>
      </c>
      <c r="L226" s="29">
        <v>0</v>
      </c>
      <c r="M226" s="29">
        <v>0</v>
      </c>
      <c r="N226" s="29">
        <v>0</v>
      </c>
      <c r="O226" s="29">
        <v>0</v>
      </c>
      <c r="P226" s="29">
        <v>0</v>
      </c>
      <c r="Q226" s="88">
        <v>0</v>
      </c>
      <c r="R226" s="224"/>
    </row>
    <row r="227" spans="1:19" ht="62.25" customHeight="1" x14ac:dyDescent="0.25">
      <c r="A227" s="224"/>
      <c r="B227" s="224"/>
      <c r="C227" s="224"/>
      <c r="D227" s="234"/>
      <c r="E227" s="224"/>
      <c r="F227" s="224"/>
      <c r="G227" s="224"/>
      <c r="H227" s="233"/>
      <c r="I227" s="88">
        <v>0</v>
      </c>
      <c r="J227" s="28" t="s">
        <v>18</v>
      </c>
      <c r="K227" s="29">
        <f>L227+M227+N227+O227+P227</f>
        <v>14999</v>
      </c>
      <c r="L227" s="29">
        <v>0</v>
      </c>
      <c r="M227" s="29">
        <v>0</v>
      </c>
      <c r="N227" s="29">
        <v>14999</v>
      </c>
      <c r="O227" s="29">
        <v>0</v>
      </c>
      <c r="P227" s="29">
        <v>0</v>
      </c>
      <c r="Q227" s="88">
        <v>0</v>
      </c>
      <c r="R227" s="224"/>
    </row>
    <row r="228" spans="1:19" ht="21" customHeight="1" x14ac:dyDescent="0.25">
      <c r="A228" s="215">
        <v>7</v>
      </c>
      <c r="B228" s="224" t="s">
        <v>97</v>
      </c>
      <c r="C228" s="224" t="s">
        <v>234</v>
      </c>
      <c r="D228" s="224" t="s">
        <v>235</v>
      </c>
      <c r="E228" s="224" t="s">
        <v>179</v>
      </c>
      <c r="F228" s="224" t="s">
        <v>545</v>
      </c>
      <c r="G228" s="230">
        <v>46721</v>
      </c>
      <c r="H228" s="233">
        <f>K228</f>
        <v>109590</v>
      </c>
      <c r="I228" s="88">
        <v>0</v>
      </c>
      <c r="J228" s="28" t="s">
        <v>14</v>
      </c>
      <c r="K228" s="29">
        <f>O228+P228</f>
        <v>109590</v>
      </c>
      <c r="L228" s="29">
        <v>0</v>
      </c>
      <c r="M228" s="29">
        <v>0</v>
      </c>
      <c r="N228" s="29">
        <v>0</v>
      </c>
      <c r="O228" s="29">
        <f>O229+O230</f>
        <v>36530</v>
      </c>
      <c r="P228" s="29">
        <f>P229+P230</f>
        <v>73060</v>
      </c>
      <c r="Q228" s="88">
        <v>0</v>
      </c>
      <c r="R228" s="224" t="s">
        <v>180</v>
      </c>
    </row>
    <row r="229" spans="1:19" ht="42.75" customHeight="1" x14ac:dyDescent="0.25">
      <c r="A229" s="216"/>
      <c r="B229" s="224"/>
      <c r="C229" s="224"/>
      <c r="D229" s="234"/>
      <c r="E229" s="224"/>
      <c r="F229" s="224"/>
      <c r="G229" s="230"/>
      <c r="H229" s="233"/>
      <c r="I229" s="88">
        <v>0</v>
      </c>
      <c r="J229" s="28" t="s">
        <v>196</v>
      </c>
      <c r="K229" s="29">
        <f>O229+P229</f>
        <v>80877.42</v>
      </c>
      <c r="L229" s="29">
        <v>0</v>
      </c>
      <c r="M229" s="29">
        <v>0</v>
      </c>
      <c r="N229" s="29">
        <v>0</v>
      </c>
      <c r="O229" s="29">
        <v>36164.699999999997</v>
      </c>
      <c r="P229" s="29">
        <v>44712.72</v>
      </c>
      <c r="Q229" s="88">
        <v>0</v>
      </c>
      <c r="R229" s="224"/>
    </row>
    <row r="230" spans="1:19" ht="57" customHeight="1" x14ac:dyDescent="0.25">
      <c r="A230" s="217"/>
      <c r="B230" s="224"/>
      <c r="C230" s="224"/>
      <c r="D230" s="234"/>
      <c r="E230" s="224"/>
      <c r="F230" s="224"/>
      <c r="G230" s="230"/>
      <c r="H230" s="233"/>
      <c r="I230" s="88">
        <v>0</v>
      </c>
      <c r="J230" s="28" t="s">
        <v>18</v>
      </c>
      <c r="K230" s="29">
        <f>O230+P230</f>
        <v>28712.579999999998</v>
      </c>
      <c r="L230" s="29">
        <v>0</v>
      </c>
      <c r="M230" s="29">
        <v>0</v>
      </c>
      <c r="N230" s="29">
        <v>0</v>
      </c>
      <c r="O230" s="29">
        <v>365.3</v>
      </c>
      <c r="P230" s="29">
        <v>28347.279999999999</v>
      </c>
      <c r="Q230" s="88">
        <v>0</v>
      </c>
      <c r="R230" s="224"/>
    </row>
    <row r="231" spans="1:19" ht="28.5" customHeight="1" x14ac:dyDescent="0.25">
      <c r="A231" s="215">
        <v>8</v>
      </c>
      <c r="B231" s="224" t="s">
        <v>161</v>
      </c>
      <c r="C231" s="224" t="s">
        <v>236</v>
      </c>
      <c r="D231" s="224" t="s">
        <v>237</v>
      </c>
      <c r="E231" s="224" t="s">
        <v>333</v>
      </c>
      <c r="F231" s="224" t="s">
        <v>522</v>
      </c>
      <c r="G231" s="230">
        <v>46022</v>
      </c>
      <c r="H231" s="233">
        <f>N231</f>
        <v>6430</v>
      </c>
      <c r="I231" s="88">
        <v>0</v>
      </c>
      <c r="J231" s="28" t="s">
        <v>14</v>
      </c>
      <c r="K231" s="29">
        <f>K232+K233</f>
        <v>12860.54</v>
      </c>
      <c r="L231" s="29">
        <f t="shared" ref="L231:P231" si="101">L232+L233</f>
        <v>6430.54</v>
      </c>
      <c r="M231" s="29">
        <f t="shared" si="101"/>
        <v>0</v>
      </c>
      <c r="N231" s="29">
        <f t="shared" si="101"/>
        <v>6430</v>
      </c>
      <c r="O231" s="29">
        <f t="shared" si="101"/>
        <v>0</v>
      </c>
      <c r="P231" s="29">
        <f t="shared" si="101"/>
        <v>0</v>
      </c>
      <c r="Q231" s="88">
        <v>0</v>
      </c>
      <c r="R231" s="224" t="s">
        <v>180</v>
      </c>
    </row>
    <row r="232" spans="1:19" ht="41.25" customHeight="1" x14ac:dyDescent="0.25">
      <c r="A232" s="216"/>
      <c r="B232" s="224"/>
      <c r="C232" s="224"/>
      <c r="D232" s="234"/>
      <c r="E232" s="224"/>
      <c r="F232" s="224"/>
      <c r="G232" s="230"/>
      <c r="H232" s="233"/>
      <c r="I232" s="88">
        <v>0</v>
      </c>
      <c r="J232" s="28" t="s">
        <v>196</v>
      </c>
      <c r="K232" s="29">
        <v>0</v>
      </c>
      <c r="L232" s="29">
        <v>0</v>
      </c>
      <c r="M232" s="29">
        <v>0</v>
      </c>
      <c r="N232" s="29">
        <v>0</v>
      </c>
      <c r="O232" s="29">
        <v>0</v>
      </c>
      <c r="P232" s="29">
        <v>0</v>
      </c>
      <c r="Q232" s="88">
        <v>0</v>
      </c>
      <c r="R232" s="224"/>
    </row>
    <row r="233" spans="1:19" ht="59.25" customHeight="1" x14ac:dyDescent="0.3">
      <c r="A233" s="217"/>
      <c r="B233" s="224"/>
      <c r="C233" s="224"/>
      <c r="D233" s="234"/>
      <c r="E233" s="224"/>
      <c r="F233" s="224"/>
      <c r="G233" s="230"/>
      <c r="H233" s="233"/>
      <c r="I233" s="88">
        <v>0</v>
      </c>
      <c r="J233" s="28" t="s">
        <v>18</v>
      </c>
      <c r="K233" s="29">
        <f>L233+M233+N233</f>
        <v>12860.54</v>
      </c>
      <c r="L233" s="29">
        <v>6430.54</v>
      </c>
      <c r="M233" s="29">
        <v>0</v>
      </c>
      <c r="N233" s="29">
        <v>6430</v>
      </c>
      <c r="O233" s="29">
        <v>0</v>
      </c>
      <c r="P233" s="29">
        <v>0</v>
      </c>
      <c r="Q233" s="88">
        <v>0</v>
      </c>
      <c r="R233" s="224"/>
      <c r="S233" s="84"/>
    </row>
    <row r="234" spans="1:19" ht="30" customHeight="1" x14ac:dyDescent="0.25">
      <c r="A234" s="215">
        <v>9</v>
      </c>
      <c r="B234" s="224" t="s">
        <v>152</v>
      </c>
      <c r="C234" s="224" t="s">
        <v>246</v>
      </c>
      <c r="D234" s="224" t="s">
        <v>247</v>
      </c>
      <c r="E234" s="224" t="s">
        <v>209</v>
      </c>
      <c r="F234" s="224" t="s">
        <v>250</v>
      </c>
      <c r="G234" s="230">
        <v>45657</v>
      </c>
      <c r="H234" s="233">
        <f>K234</f>
        <v>0</v>
      </c>
      <c r="I234" s="88">
        <v>0</v>
      </c>
      <c r="J234" s="28" t="s">
        <v>14</v>
      </c>
      <c r="K234" s="29">
        <f>K235+K236</f>
        <v>0</v>
      </c>
      <c r="L234" s="29">
        <f t="shared" ref="L234:P234" si="102">L235+L236</f>
        <v>0</v>
      </c>
      <c r="M234" s="29">
        <f t="shared" si="102"/>
        <v>0</v>
      </c>
      <c r="N234" s="29">
        <f t="shared" si="102"/>
        <v>0</v>
      </c>
      <c r="O234" s="29">
        <f t="shared" si="102"/>
        <v>0</v>
      </c>
      <c r="P234" s="29">
        <f t="shared" si="102"/>
        <v>0</v>
      </c>
      <c r="Q234" s="88">
        <v>0</v>
      </c>
      <c r="R234" s="224" t="s">
        <v>180</v>
      </c>
    </row>
    <row r="235" spans="1:19" ht="46.5" customHeight="1" x14ac:dyDescent="0.25">
      <c r="A235" s="216"/>
      <c r="B235" s="224"/>
      <c r="C235" s="224"/>
      <c r="D235" s="234"/>
      <c r="E235" s="224"/>
      <c r="F235" s="224"/>
      <c r="G235" s="230"/>
      <c r="H235" s="233"/>
      <c r="I235" s="88">
        <v>0</v>
      </c>
      <c r="J235" s="28" t="s">
        <v>196</v>
      </c>
      <c r="K235" s="29">
        <v>0</v>
      </c>
      <c r="L235" s="29">
        <v>0</v>
      </c>
      <c r="M235" s="29">
        <v>0</v>
      </c>
      <c r="N235" s="29">
        <v>0</v>
      </c>
      <c r="O235" s="29">
        <v>0</v>
      </c>
      <c r="P235" s="29">
        <v>0</v>
      </c>
      <c r="Q235" s="88">
        <v>0</v>
      </c>
      <c r="R235" s="224"/>
    </row>
    <row r="236" spans="1:19" ht="62.25" customHeight="1" x14ac:dyDescent="0.25">
      <c r="A236" s="217"/>
      <c r="B236" s="224"/>
      <c r="C236" s="224"/>
      <c r="D236" s="234"/>
      <c r="E236" s="224"/>
      <c r="F236" s="224"/>
      <c r="G236" s="230"/>
      <c r="H236" s="233"/>
      <c r="I236" s="88">
        <v>0</v>
      </c>
      <c r="J236" s="28" t="s">
        <v>18</v>
      </c>
      <c r="K236" s="29">
        <f>L236</f>
        <v>0</v>
      </c>
      <c r="L236" s="29">
        <v>0</v>
      </c>
      <c r="M236" s="29">
        <v>0</v>
      </c>
      <c r="N236" s="29">
        <v>0</v>
      </c>
      <c r="O236" s="29">
        <v>0</v>
      </c>
      <c r="P236" s="29">
        <v>0</v>
      </c>
      <c r="Q236" s="88">
        <v>0</v>
      </c>
      <c r="R236" s="224"/>
    </row>
    <row r="237" spans="1:19" ht="27" customHeight="1" x14ac:dyDescent="0.25">
      <c r="A237" s="215">
        <v>10</v>
      </c>
      <c r="B237" s="215" t="s">
        <v>270</v>
      </c>
      <c r="C237" s="215" t="s">
        <v>238</v>
      </c>
      <c r="D237" s="215" t="s">
        <v>239</v>
      </c>
      <c r="E237" s="215" t="s">
        <v>333</v>
      </c>
      <c r="F237" s="215" t="s">
        <v>522</v>
      </c>
      <c r="G237" s="218">
        <v>46022</v>
      </c>
      <c r="H237" s="221">
        <f>K237</f>
        <v>3000</v>
      </c>
      <c r="I237" s="88">
        <v>0</v>
      </c>
      <c r="J237" s="28" t="s">
        <v>14</v>
      </c>
      <c r="K237" s="29">
        <f>K238+K239</f>
        <v>3000</v>
      </c>
      <c r="L237" s="29">
        <f t="shared" ref="L237:P237" si="103">L238+L239</f>
        <v>0</v>
      </c>
      <c r="M237" s="29">
        <f t="shared" si="103"/>
        <v>0</v>
      </c>
      <c r="N237" s="29">
        <f t="shared" si="103"/>
        <v>3000</v>
      </c>
      <c r="O237" s="29">
        <f t="shared" si="103"/>
        <v>0</v>
      </c>
      <c r="P237" s="29">
        <f t="shared" si="103"/>
        <v>0</v>
      </c>
      <c r="Q237" s="88">
        <v>0</v>
      </c>
      <c r="R237" s="215" t="s">
        <v>180</v>
      </c>
    </row>
    <row r="238" spans="1:19" ht="43.5" customHeight="1" x14ac:dyDescent="0.25">
      <c r="A238" s="216"/>
      <c r="B238" s="216"/>
      <c r="C238" s="216"/>
      <c r="D238" s="225"/>
      <c r="E238" s="216"/>
      <c r="F238" s="216"/>
      <c r="G238" s="219"/>
      <c r="H238" s="222"/>
      <c r="I238" s="88">
        <v>0</v>
      </c>
      <c r="J238" s="28" t="s">
        <v>196</v>
      </c>
      <c r="K238" s="29">
        <v>0</v>
      </c>
      <c r="L238" s="29">
        <v>0</v>
      </c>
      <c r="M238" s="29">
        <v>0</v>
      </c>
      <c r="N238" s="29">
        <v>0</v>
      </c>
      <c r="O238" s="29">
        <v>0</v>
      </c>
      <c r="P238" s="29">
        <v>0</v>
      </c>
      <c r="Q238" s="88">
        <v>0</v>
      </c>
      <c r="R238" s="216"/>
    </row>
    <row r="239" spans="1:19" ht="63.75" customHeight="1" x14ac:dyDescent="0.25">
      <c r="A239" s="217"/>
      <c r="B239" s="217"/>
      <c r="C239" s="217"/>
      <c r="D239" s="226"/>
      <c r="E239" s="217"/>
      <c r="F239" s="217"/>
      <c r="G239" s="220"/>
      <c r="H239" s="223"/>
      <c r="I239" s="88">
        <v>0</v>
      </c>
      <c r="J239" s="28" t="s">
        <v>18</v>
      </c>
      <c r="K239" s="29">
        <f>L239+M239+N239</f>
        <v>3000</v>
      </c>
      <c r="L239" s="29">
        <v>0</v>
      </c>
      <c r="M239" s="29">
        <v>0</v>
      </c>
      <c r="N239" s="29">
        <v>3000</v>
      </c>
      <c r="O239" s="29">
        <v>0</v>
      </c>
      <c r="P239" s="29">
        <v>0</v>
      </c>
      <c r="Q239" s="88">
        <v>0</v>
      </c>
      <c r="R239" s="217"/>
    </row>
    <row r="240" spans="1:19" ht="30" customHeight="1" x14ac:dyDescent="0.25">
      <c r="A240" s="224">
        <v>11</v>
      </c>
      <c r="B240" s="224" t="s">
        <v>255</v>
      </c>
      <c r="C240" s="224" t="s">
        <v>108</v>
      </c>
      <c r="D240" s="224" t="s">
        <v>256</v>
      </c>
      <c r="E240" s="224" t="s">
        <v>186</v>
      </c>
      <c r="F240" s="224" t="s">
        <v>108</v>
      </c>
      <c r="G240" s="230" t="s">
        <v>108</v>
      </c>
      <c r="H240" s="233">
        <f>K240</f>
        <v>0</v>
      </c>
      <c r="I240" s="88">
        <v>0</v>
      </c>
      <c r="J240" s="28" t="s">
        <v>14</v>
      </c>
      <c r="K240" s="29">
        <f>K241+K242</f>
        <v>0</v>
      </c>
      <c r="L240" s="29">
        <f t="shared" ref="L240:P240" si="104">L241+L242</f>
        <v>0</v>
      </c>
      <c r="M240" s="29">
        <f t="shared" si="104"/>
        <v>0</v>
      </c>
      <c r="N240" s="29">
        <f t="shared" si="104"/>
        <v>0</v>
      </c>
      <c r="O240" s="29">
        <f t="shared" si="104"/>
        <v>0</v>
      </c>
      <c r="P240" s="29">
        <f t="shared" si="104"/>
        <v>0</v>
      </c>
      <c r="Q240" s="88">
        <v>0</v>
      </c>
      <c r="R240" s="224" t="s">
        <v>180</v>
      </c>
    </row>
    <row r="241" spans="1:19" ht="46.5" customHeight="1" x14ac:dyDescent="0.25">
      <c r="A241" s="224"/>
      <c r="B241" s="224"/>
      <c r="C241" s="224"/>
      <c r="D241" s="234"/>
      <c r="E241" s="224"/>
      <c r="F241" s="224"/>
      <c r="G241" s="230"/>
      <c r="H241" s="233"/>
      <c r="I241" s="88">
        <v>0</v>
      </c>
      <c r="J241" s="28" t="s">
        <v>196</v>
      </c>
      <c r="K241" s="29">
        <v>0</v>
      </c>
      <c r="L241" s="29">
        <v>0</v>
      </c>
      <c r="M241" s="29">
        <v>0</v>
      </c>
      <c r="N241" s="29">
        <v>0</v>
      </c>
      <c r="O241" s="29">
        <v>0</v>
      </c>
      <c r="P241" s="29">
        <v>0</v>
      </c>
      <c r="Q241" s="88">
        <v>0</v>
      </c>
      <c r="R241" s="224"/>
    </row>
    <row r="242" spans="1:19" ht="65.25" customHeight="1" x14ac:dyDescent="0.25">
      <c r="A242" s="224"/>
      <c r="B242" s="224"/>
      <c r="C242" s="224"/>
      <c r="D242" s="234"/>
      <c r="E242" s="224"/>
      <c r="F242" s="224"/>
      <c r="G242" s="230"/>
      <c r="H242" s="233"/>
      <c r="I242" s="88">
        <v>0</v>
      </c>
      <c r="J242" s="28" t="s">
        <v>18</v>
      </c>
      <c r="K242" s="29">
        <f>L242</f>
        <v>0</v>
      </c>
      <c r="L242" s="29">
        <v>0</v>
      </c>
      <c r="M242" s="29">
        <v>0</v>
      </c>
      <c r="N242" s="29">
        <v>0</v>
      </c>
      <c r="O242" s="29">
        <v>0</v>
      </c>
      <c r="P242" s="29">
        <v>0</v>
      </c>
      <c r="Q242" s="88">
        <v>0</v>
      </c>
      <c r="R242" s="224"/>
    </row>
    <row r="243" spans="1:19" ht="48.75" customHeight="1" x14ac:dyDescent="0.25">
      <c r="A243" s="224">
        <v>12</v>
      </c>
      <c r="B243" s="224" t="s">
        <v>254</v>
      </c>
      <c r="C243" s="224" t="s">
        <v>257</v>
      </c>
      <c r="D243" s="224" t="s">
        <v>258</v>
      </c>
      <c r="E243" s="224" t="s">
        <v>213</v>
      </c>
      <c r="F243" s="224" t="s">
        <v>259</v>
      </c>
      <c r="G243" s="230">
        <v>45291</v>
      </c>
      <c r="H243" s="233">
        <f>K243+I243</f>
        <v>38591.22077</v>
      </c>
      <c r="I243" s="29">
        <f>I244+I245</f>
        <v>16764.58843</v>
      </c>
      <c r="J243" s="28" t="s">
        <v>14</v>
      </c>
      <c r="K243" s="29">
        <f>K244+K245</f>
        <v>21826.63234</v>
      </c>
      <c r="L243" s="29">
        <f t="shared" ref="L243:P243" si="105">L244+L245</f>
        <v>21826.63234</v>
      </c>
      <c r="M243" s="29">
        <f t="shared" si="105"/>
        <v>0</v>
      </c>
      <c r="N243" s="29">
        <f t="shared" si="105"/>
        <v>0</v>
      </c>
      <c r="O243" s="29">
        <f t="shared" si="105"/>
        <v>0</v>
      </c>
      <c r="P243" s="29">
        <f t="shared" si="105"/>
        <v>0</v>
      </c>
      <c r="Q243" s="88">
        <v>0</v>
      </c>
      <c r="R243" s="224" t="s">
        <v>180</v>
      </c>
    </row>
    <row r="244" spans="1:19" ht="66" customHeight="1" x14ac:dyDescent="0.25">
      <c r="A244" s="224"/>
      <c r="B244" s="224"/>
      <c r="C244" s="224"/>
      <c r="D244" s="234"/>
      <c r="E244" s="224"/>
      <c r="F244" s="224"/>
      <c r="G244" s="230"/>
      <c r="H244" s="233"/>
      <c r="I244" s="29">
        <v>0</v>
      </c>
      <c r="J244" s="28" t="s">
        <v>196</v>
      </c>
      <c r="K244" s="29">
        <v>0</v>
      </c>
      <c r="L244" s="29">
        <v>0</v>
      </c>
      <c r="M244" s="29">
        <v>0</v>
      </c>
      <c r="N244" s="29">
        <v>0</v>
      </c>
      <c r="O244" s="29">
        <v>0</v>
      </c>
      <c r="P244" s="29">
        <v>0</v>
      </c>
      <c r="Q244" s="88">
        <v>0</v>
      </c>
      <c r="R244" s="224"/>
    </row>
    <row r="245" spans="1:19" ht="192.75" customHeight="1" x14ac:dyDescent="0.25">
      <c r="A245" s="224"/>
      <c r="B245" s="224"/>
      <c r="C245" s="224"/>
      <c r="D245" s="234"/>
      <c r="E245" s="224"/>
      <c r="F245" s="224"/>
      <c r="G245" s="230"/>
      <c r="H245" s="233"/>
      <c r="I245" s="29">
        <v>16764.58843</v>
      </c>
      <c r="J245" s="28" t="s">
        <v>18</v>
      </c>
      <c r="K245" s="29">
        <f>L245</f>
        <v>21826.63234</v>
      </c>
      <c r="L245" s="29">
        <f>21835.36157- 8.72923</f>
        <v>21826.63234</v>
      </c>
      <c r="M245" s="29">
        <v>0</v>
      </c>
      <c r="N245" s="29">
        <v>0</v>
      </c>
      <c r="O245" s="29">
        <v>0</v>
      </c>
      <c r="P245" s="29">
        <v>0</v>
      </c>
      <c r="Q245" s="88">
        <v>0</v>
      </c>
      <c r="R245" s="224"/>
    </row>
    <row r="246" spans="1:19" ht="43.5" customHeight="1" x14ac:dyDescent="0.25">
      <c r="A246" s="224">
        <v>13</v>
      </c>
      <c r="B246" s="224" t="s">
        <v>251</v>
      </c>
      <c r="C246" s="224" t="s">
        <v>262</v>
      </c>
      <c r="D246" s="224" t="s">
        <v>260</v>
      </c>
      <c r="E246" s="224" t="s">
        <v>186</v>
      </c>
      <c r="F246" s="230" t="s">
        <v>261</v>
      </c>
      <c r="G246" s="230">
        <v>45291</v>
      </c>
      <c r="H246" s="233">
        <f>K246+I246</f>
        <v>70.443120000000008</v>
      </c>
      <c r="I246" s="29">
        <f>I247+I248</f>
        <v>21.132940000000001</v>
      </c>
      <c r="J246" s="28" t="s">
        <v>14</v>
      </c>
      <c r="K246" s="29">
        <f>K247+K248</f>
        <v>49.310180000000003</v>
      </c>
      <c r="L246" s="29">
        <f t="shared" ref="L246:P246" si="106">L247+L248</f>
        <v>49.310180000000003</v>
      </c>
      <c r="M246" s="29">
        <f t="shared" si="106"/>
        <v>0</v>
      </c>
      <c r="N246" s="29">
        <f t="shared" si="106"/>
        <v>0</v>
      </c>
      <c r="O246" s="29">
        <f t="shared" si="106"/>
        <v>0</v>
      </c>
      <c r="P246" s="29">
        <f t="shared" si="106"/>
        <v>0</v>
      </c>
      <c r="Q246" s="88">
        <v>0</v>
      </c>
      <c r="R246" s="224" t="s">
        <v>180</v>
      </c>
    </row>
    <row r="247" spans="1:19" ht="66" customHeight="1" x14ac:dyDescent="0.25">
      <c r="A247" s="224"/>
      <c r="B247" s="224"/>
      <c r="C247" s="224"/>
      <c r="D247" s="234"/>
      <c r="E247" s="224"/>
      <c r="F247" s="224"/>
      <c r="G247" s="230"/>
      <c r="H247" s="233"/>
      <c r="I247" s="29">
        <v>0</v>
      </c>
      <c r="J247" s="28" t="s">
        <v>196</v>
      </c>
      <c r="K247" s="29">
        <v>0</v>
      </c>
      <c r="L247" s="29">
        <v>0</v>
      </c>
      <c r="M247" s="29">
        <v>0</v>
      </c>
      <c r="N247" s="29">
        <v>0</v>
      </c>
      <c r="O247" s="29">
        <v>0</v>
      </c>
      <c r="P247" s="29">
        <v>0</v>
      </c>
      <c r="Q247" s="88">
        <v>0</v>
      </c>
      <c r="R247" s="224"/>
    </row>
    <row r="248" spans="1:19" ht="104.25" customHeight="1" x14ac:dyDescent="0.25">
      <c r="A248" s="224"/>
      <c r="B248" s="224"/>
      <c r="C248" s="224"/>
      <c r="D248" s="234"/>
      <c r="E248" s="224"/>
      <c r="F248" s="224"/>
      <c r="G248" s="230"/>
      <c r="H248" s="233"/>
      <c r="I248" s="29">
        <v>21.132940000000001</v>
      </c>
      <c r="J248" s="28" t="s">
        <v>18</v>
      </c>
      <c r="K248" s="29">
        <f>L248</f>
        <v>49.310180000000003</v>
      </c>
      <c r="L248" s="29">
        <v>49.310180000000003</v>
      </c>
      <c r="M248" s="29">
        <v>0</v>
      </c>
      <c r="N248" s="29">
        <v>0</v>
      </c>
      <c r="O248" s="29">
        <v>0</v>
      </c>
      <c r="P248" s="29">
        <v>0</v>
      </c>
      <c r="Q248" s="88">
        <v>0</v>
      </c>
      <c r="R248" s="224"/>
    </row>
    <row r="249" spans="1:19" ht="25.5" customHeight="1" x14ac:dyDescent="0.25">
      <c r="A249" s="215">
        <v>14</v>
      </c>
      <c r="B249" s="224" t="s">
        <v>335</v>
      </c>
      <c r="C249" s="224" t="s">
        <v>336</v>
      </c>
      <c r="D249" s="224" t="s">
        <v>279</v>
      </c>
      <c r="E249" s="224" t="s">
        <v>213</v>
      </c>
      <c r="F249" s="230" t="s">
        <v>287</v>
      </c>
      <c r="G249" s="230">
        <v>46356</v>
      </c>
      <c r="H249" s="233">
        <f>K249+I249</f>
        <v>319640.81000000006</v>
      </c>
      <c r="I249" s="29">
        <f>I250+I251</f>
        <v>0</v>
      </c>
      <c r="J249" s="28" t="s">
        <v>14</v>
      </c>
      <c r="K249" s="29">
        <f>K250+K251</f>
        <v>319640.81000000006</v>
      </c>
      <c r="L249" s="29">
        <f t="shared" ref="L249:P249" si="107">L250+L251</f>
        <v>0</v>
      </c>
      <c r="M249" s="29">
        <f t="shared" si="107"/>
        <v>75741.55</v>
      </c>
      <c r="N249" s="29">
        <f>N250+N251</f>
        <v>87795.53</v>
      </c>
      <c r="O249" s="29">
        <f>O250+O251</f>
        <v>156103.73000000001</v>
      </c>
      <c r="P249" s="29">
        <f t="shared" si="107"/>
        <v>0</v>
      </c>
      <c r="Q249" s="88">
        <v>0</v>
      </c>
      <c r="R249" s="224" t="s">
        <v>180</v>
      </c>
    </row>
    <row r="250" spans="1:19" ht="42" customHeight="1" x14ac:dyDescent="0.25">
      <c r="A250" s="216"/>
      <c r="B250" s="224"/>
      <c r="C250" s="224"/>
      <c r="D250" s="234"/>
      <c r="E250" s="224"/>
      <c r="F250" s="224"/>
      <c r="G250" s="230"/>
      <c r="H250" s="233"/>
      <c r="I250" s="29">
        <v>0</v>
      </c>
      <c r="J250" s="28" t="s">
        <v>196</v>
      </c>
      <c r="K250" s="29">
        <f>L250+M250+N250+O250+P250</f>
        <v>271694.67000000004</v>
      </c>
      <c r="L250" s="29">
        <v>0</v>
      </c>
      <c r="M250" s="29">
        <v>64380.31</v>
      </c>
      <c r="N250" s="29">
        <f>186320.99-111694.79</f>
        <v>74626.2</v>
      </c>
      <c r="O250" s="29">
        <f>20993.37+111694.79</f>
        <v>132688.16</v>
      </c>
      <c r="P250" s="29">
        <v>0</v>
      </c>
      <c r="Q250" s="88">
        <v>0</v>
      </c>
      <c r="R250" s="224"/>
    </row>
    <row r="251" spans="1:19" ht="58.5" customHeight="1" x14ac:dyDescent="0.3">
      <c r="A251" s="217"/>
      <c r="B251" s="224"/>
      <c r="C251" s="224"/>
      <c r="D251" s="234"/>
      <c r="E251" s="224"/>
      <c r="F251" s="224"/>
      <c r="G251" s="230"/>
      <c r="H251" s="233"/>
      <c r="I251" s="29">
        <v>0</v>
      </c>
      <c r="J251" s="28" t="s">
        <v>18</v>
      </c>
      <c r="K251" s="29">
        <f>L251+M251+N251+O251+P251</f>
        <v>47946.14</v>
      </c>
      <c r="L251" s="29">
        <v>0</v>
      </c>
      <c r="M251" s="29">
        <v>11361.24</v>
      </c>
      <c r="N251" s="29">
        <f>32880.18-19710.85</f>
        <v>13169.330000000002</v>
      </c>
      <c r="O251" s="29">
        <f>3704.72+19710.85</f>
        <v>23415.57</v>
      </c>
      <c r="P251" s="29">
        <v>0</v>
      </c>
      <c r="Q251" s="88">
        <v>0</v>
      </c>
      <c r="R251" s="224"/>
      <c r="S251" s="84"/>
    </row>
    <row r="252" spans="1:19" ht="25.5" customHeight="1" x14ac:dyDescent="0.25">
      <c r="A252" s="215">
        <v>15</v>
      </c>
      <c r="B252" s="215" t="s">
        <v>334</v>
      </c>
      <c r="C252" s="215" t="s">
        <v>337</v>
      </c>
      <c r="D252" s="215" t="s">
        <v>279</v>
      </c>
      <c r="E252" s="215" t="s">
        <v>213</v>
      </c>
      <c r="F252" s="218" t="s">
        <v>287</v>
      </c>
      <c r="G252" s="218">
        <v>46356</v>
      </c>
      <c r="H252" s="221">
        <f>K252+I252</f>
        <v>614705.72</v>
      </c>
      <c r="I252" s="29">
        <f>I253+I254</f>
        <v>0</v>
      </c>
      <c r="J252" s="28" t="s">
        <v>14</v>
      </c>
      <c r="K252" s="29">
        <f>L252+M252+N252+O252+P252</f>
        <v>614705.72</v>
      </c>
      <c r="L252" s="29">
        <f t="shared" ref="L252:P252" si="108">L253+L254</f>
        <v>0</v>
      </c>
      <c r="M252" s="29">
        <f t="shared" si="108"/>
        <v>191449.8</v>
      </c>
      <c r="N252" s="29">
        <f>N253+N254</f>
        <v>150523.90999999997</v>
      </c>
      <c r="O252" s="29">
        <f>O253+O254</f>
        <v>272732.01</v>
      </c>
      <c r="P252" s="29">
        <f t="shared" si="108"/>
        <v>0</v>
      </c>
      <c r="Q252" s="88">
        <v>0</v>
      </c>
      <c r="R252" s="215" t="s">
        <v>180</v>
      </c>
    </row>
    <row r="253" spans="1:19" ht="45.75" customHeight="1" x14ac:dyDescent="0.3">
      <c r="A253" s="216"/>
      <c r="B253" s="216"/>
      <c r="C253" s="216"/>
      <c r="D253" s="225"/>
      <c r="E253" s="216"/>
      <c r="F253" s="216"/>
      <c r="G253" s="219"/>
      <c r="H253" s="222"/>
      <c r="I253" s="29">
        <v>0</v>
      </c>
      <c r="J253" s="28" t="s">
        <v>196</v>
      </c>
      <c r="K253" s="29">
        <f>L253+M253+N253+O253+P253</f>
        <v>522499.86</v>
      </c>
      <c r="L253" s="29">
        <v>0</v>
      </c>
      <c r="M253" s="29">
        <v>162732.32999999999</v>
      </c>
      <c r="N253" s="29">
        <f>343124.86-215179.54</f>
        <v>127945.31999999998</v>
      </c>
      <c r="O253" s="29">
        <f>16642.67+215179.54</f>
        <v>231822.21000000002</v>
      </c>
      <c r="P253" s="29">
        <v>0</v>
      </c>
      <c r="Q253" s="88">
        <v>0</v>
      </c>
      <c r="R253" s="216"/>
      <c r="S253" s="84"/>
    </row>
    <row r="254" spans="1:19" ht="64.5" customHeight="1" x14ac:dyDescent="0.25">
      <c r="A254" s="217"/>
      <c r="B254" s="217"/>
      <c r="C254" s="217"/>
      <c r="D254" s="226"/>
      <c r="E254" s="217"/>
      <c r="F254" s="217"/>
      <c r="G254" s="220"/>
      <c r="H254" s="223"/>
      <c r="I254" s="29">
        <v>0</v>
      </c>
      <c r="J254" s="28" t="s">
        <v>18</v>
      </c>
      <c r="K254" s="29">
        <f>L254+M254+N254+O254+P254</f>
        <v>92205.86</v>
      </c>
      <c r="L254" s="29">
        <v>0</v>
      </c>
      <c r="M254" s="29">
        <v>28717.47</v>
      </c>
      <c r="N254" s="29">
        <f>60551.45-37972.86</f>
        <v>22578.589999999997</v>
      </c>
      <c r="O254" s="29">
        <f>2936.94+37972.86</f>
        <v>40909.800000000003</v>
      </c>
      <c r="P254" s="29">
        <v>0</v>
      </c>
      <c r="Q254" s="88">
        <v>0</v>
      </c>
      <c r="R254" s="217"/>
    </row>
    <row r="255" spans="1:19" ht="29.25" customHeight="1" x14ac:dyDescent="0.25">
      <c r="A255" s="224">
        <v>16</v>
      </c>
      <c r="B255" s="224" t="s">
        <v>413</v>
      </c>
      <c r="C255" s="224" t="s">
        <v>416</v>
      </c>
      <c r="D255" s="224" t="s">
        <v>381</v>
      </c>
      <c r="E255" s="224" t="s">
        <v>209</v>
      </c>
      <c r="F255" s="224" t="s">
        <v>539</v>
      </c>
      <c r="G255" s="230">
        <v>46356</v>
      </c>
      <c r="H255" s="233">
        <v>297019.65999999997</v>
      </c>
      <c r="I255" s="88">
        <v>0</v>
      </c>
      <c r="J255" s="28" t="s">
        <v>14</v>
      </c>
      <c r="K255" s="29">
        <f>K257+K256</f>
        <v>302897.51999999996</v>
      </c>
      <c r="L255" s="29">
        <f>L256+L257</f>
        <v>0</v>
      </c>
      <c r="M255" s="29">
        <f t="shared" ref="M255:O255" si="109">M256+M257</f>
        <v>5877.86</v>
      </c>
      <c r="N255" s="29">
        <f t="shared" si="109"/>
        <v>276290.61</v>
      </c>
      <c r="O255" s="29">
        <f t="shared" si="109"/>
        <v>20729.05</v>
      </c>
      <c r="P255" s="29">
        <f>P256+P257</f>
        <v>0</v>
      </c>
      <c r="Q255" s="29">
        <f>Q256+Q257</f>
        <v>0</v>
      </c>
      <c r="R255" s="224" t="s">
        <v>180</v>
      </c>
    </row>
    <row r="256" spans="1:19" ht="39" customHeight="1" x14ac:dyDescent="0.25">
      <c r="A256" s="224"/>
      <c r="B256" s="224"/>
      <c r="C256" s="224"/>
      <c r="D256" s="224"/>
      <c r="E256" s="224"/>
      <c r="F256" s="224"/>
      <c r="G256" s="224"/>
      <c r="H256" s="233"/>
      <c r="I256" s="88">
        <v>0</v>
      </c>
      <c r="J256" s="28" t="s">
        <v>196</v>
      </c>
      <c r="K256" s="29">
        <f>SUM(L256:P256)</f>
        <v>291897.98</v>
      </c>
      <c r="L256" s="29">
        <v>0</v>
      </c>
      <c r="M256" s="29">
        <v>0</v>
      </c>
      <c r="N256" s="29">
        <f>291897.98-20371.61</f>
        <v>271526.37</v>
      </c>
      <c r="O256" s="29">
        <v>20371.61</v>
      </c>
      <c r="P256" s="29">
        <v>0</v>
      </c>
      <c r="Q256" s="88">
        <v>0</v>
      </c>
      <c r="R256" s="224"/>
      <c r="S256" s="89"/>
    </row>
    <row r="257" spans="1:19" ht="63.75" customHeight="1" x14ac:dyDescent="0.35">
      <c r="A257" s="224"/>
      <c r="B257" s="224"/>
      <c r="C257" s="224"/>
      <c r="D257" s="224"/>
      <c r="E257" s="224"/>
      <c r="F257" s="224"/>
      <c r="G257" s="224"/>
      <c r="H257" s="233"/>
      <c r="I257" s="88">
        <v>0</v>
      </c>
      <c r="J257" s="28" t="s">
        <v>18</v>
      </c>
      <c r="K257" s="29">
        <f>SUM(L257:P257)</f>
        <v>10999.54</v>
      </c>
      <c r="L257" s="29">
        <v>0</v>
      </c>
      <c r="M257" s="29">
        <v>5877.86</v>
      </c>
      <c r="N257" s="29">
        <f>5121.68-357.44</f>
        <v>4764.2400000000007</v>
      </c>
      <c r="O257" s="29">
        <v>357.44</v>
      </c>
      <c r="P257" s="29">
        <v>0</v>
      </c>
      <c r="Q257" s="88">
        <v>0</v>
      </c>
      <c r="R257" s="224"/>
      <c r="S257" s="93"/>
    </row>
    <row r="258" spans="1:19" ht="27.75" customHeight="1" x14ac:dyDescent="0.25">
      <c r="A258" s="224">
        <v>17</v>
      </c>
      <c r="B258" s="224" t="s">
        <v>414</v>
      </c>
      <c r="C258" s="224" t="s">
        <v>415</v>
      </c>
      <c r="D258" s="224" t="s">
        <v>381</v>
      </c>
      <c r="E258" s="224" t="s">
        <v>209</v>
      </c>
      <c r="F258" s="224" t="s">
        <v>539</v>
      </c>
      <c r="G258" s="230">
        <v>46356</v>
      </c>
      <c r="H258" s="233">
        <v>474754.48</v>
      </c>
      <c r="I258" s="88">
        <v>0</v>
      </c>
      <c r="J258" s="28" t="s">
        <v>14</v>
      </c>
      <c r="K258" s="29">
        <f>K260+K259</f>
        <v>477736.26</v>
      </c>
      <c r="L258" s="29">
        <f>L259+L260</f>
        <v>0</v>
      </c>
      <c r="M258" s="29">
        <f t="shared" ref="M258:O258" si="110">M259+M260</f>
        <v>2981.78</v>
      </c>
      <c r="N258" s="29">
        <f t="shared" si="110"/>
        <v>465267.80000000005</v>
      </c>
      <c r="O258" s="29">
        <f t="shared" si="110"/>
        <v>9486.68</v>
      </c>
      <c r="P258" s="29">
        <f>P259+P260</f>
        <v>0</v>
      </c>
      <c r="Q258" s="29">
        <f>Q259+Q260</f>
        <v>0</v>
      </c>
      <c r="R258" s="224" t="s">
        <v>180</v>
      </c>
    </row>
    <row r="259" spans="1:19" ht="39" customHeight="1" x14ac:dyDescent="0.25">
      <c r="A259" s="224"/>
      <c r="B259" s="224"/>
      <c r="C259" s="224"/>
      <c r="D259" s="224"/>
      <c r="E259" s="224"/>
      <c r="F259" s="224"/>
      <c r="G259" s="224"/>
      <c r="H259" s="233"/>
      <c r="I259" s="88">
        <v>0</v>
      </c>
      <c r="J259" s="28" t="s">
        <v>196</v>
      </c>
      <c r="K259" s="29">
        <f>SUM(L259:P259)</f>
        <v>296246.78000000003</v>
      </c>
      <c r="L259" s="29">
        <v>0</v>
      </c>
      <c r="M259" s="29">
        <v>0</v>
      </c>
      <c r="N259" s="29">
        <f>296246.78-5919.69</f>
        <v>290327.09000000003</v>
      </c>
      <c r="O259" s="29">
        <v>5919.69</v>
      </c>
      <c r="P259" s="29">
        <v>0</v>
      </c>
      <c r="Q259" s="88">
        <v>0</v>
      </c>
      <c r="R259" s="224"/>
      <c r="S259" s="89"/>
    </row>
    <row r="260" spans="1:19" ht="75" customHeight="1" x14ac:dyDescent="0.35">
      <c r="A260" s="224"/>
      <c r="B260" s="224"/>
      <c r="C260" s="224"/>
      <c r="D260" s="224"/>
      <c r="E260" s="224"/>
      <c r="F260" s="224"/>
      <c r="G260" s="224"/>
      <c r="H260" s="233"/>
      <c r="I260" s="88">
        <v>0</v>
      </c>
      <c r="J260" s="28" t="s">
        <v>18</v>
      </c>
      <c r="K260" s="29">
        <f>SUM(L260:P260)</f>
        <v>181489.48</v>
      </c>
      <c r="L260" s="29">
        <v>0</v>
      </c>
      <c r="M260" s="29">
        <v>2981.78</v>
      </c>
      <c r="N260" s="29">
        <f>178507.7-3566.99</f>
        <v>174940.71000000002</v>
      </c>
      <c r="O260" s="29">
        <v>3566.99</v>
      </c>
      <c r="P260" s="29">
        <v>0</v>
      </c>
      <c r="Q260" s="88">
        <v>0</v>
      </c>
      <c r="R260" s="224"/>
      <c r="S260" s="93"/>
    </row>
    <row r="261" spans="1:19" ht="27.75" customHeight="1" x14ac:dyDescent="0.25">
      <c r="A261" s="224">
        <v>18</v>
      </c>
      <c r="B261" s="224" t="s">
        <v>549</v>
      </c>
      <c r="C261" s="224" t="s">
        <v>415</v>
      </c>
      <c r="D261" s="224" t="s">
        <v>479</v>
      </c>
      <c r="E261" s="224" t="s">
        <v>213</v>
      </c>
      <c r="F261" s="224" t="s">
        <v>545</v>
      </c>
      <c r="G261" s="230">
        <v>46721</v>
      </c>
      <c r="H261" s="233">
        <f>K261</f>
        <v>441650</v>
      </c>
      <c r="I261" s="88">
        <v>0</v>
      </c>
      <c r="J261" s="28" t="s">
        <v>14</v>
      </c>
      <c r="K261" s="29">
        <f>K263+K262</f>
        <v>441650</v>
      </c>
      <c r="L261" s="29">
        <f>L262+L263</f>
        <v>0</v>
      </c>
      <c r="M261" s="29">
        <f t="shared" ref="M261:N261" si="111">M262+M263</f>
        <v>0</v>
      </c>
      <c r="N261" s="29">
        <f t="shared" si="111"/>
        <v>0</v>
      </c>
      <c r="O261" s="29">
        <f>O262+O263</f>
        <v>40150</v>
      </c>
      <c r="P261" s="29">
        <f>P262+P263</f>
        <v>401500</v>
      </c>
      <c r="Q261" s="29">
        <f>Q262+Q263</f>
        <v>0</v>
      </c>
      <c r="R261" s="224" t="s">
        <v>180</v>
      </c>
    </row>
    <row r="262" spans="1:19" ht="39" customHeight="1" x14ac:dyDescent="0.35">
      <c r="A262" s="224"/>
      <c r="B262" s="224"/>
      <c r="C262" s="224"/>
      <c r="D262" s="224"/>
      <c r="E262" s="224"/>
      <c r="F262" s="224"/>
      <c r="G262" s="224"/>
      <c r="H262" s="233"/>
      <c r="I262" s="88">
        <v>0</v>
      </c>
      <c r="J262" s="28" t="s">
        <v>196</v>
      </c>
      <c r="K262" s="29">
        <f>SUM(L262:P262)</f>
        <v>273381.34999999998</v>
      </c>
      <c r="L262" s="29">
        <v>0</v>
      </c>
      <c r="M262" s="29">
        <v>0</v>
      </c>
      <c r="N262" s="29">
        <v>0</v>
      </c>
      <c r="O262" s="29">
        <v>24852.85</v>
      </c>
      <c r="P262" s="29">
        <v>248528.5</v>
      </c>
      <c r="Q262" s="88">
        <v>0</v>
      </c>
      <c r="R262" s="224"/>
      <c r="S262" s="94"/>
    </row>
    <row r="263" spans="1:19" ht="75" customHeight="1" x14ac:dyDescent="0.35">
      <c r="A263" s="224"/>
      <c r="B263" s="224"/>
      <c r="C263" s="224"/>
      <c r="D263" s="224"/>
      <c r="E263" s="224"/>
      <c r="F263" s="224"/>
      <c r="G263" s="224"/>
      <c r="H263" s="233"/>
      <c r="I263" s="88">
        <v>0</v>
      </c>
      <c r="J263" s="28" t="s">
        <v>18</v>
      </c>
      <c r="K263" s="29">
        <f>SUM(L263:P263)</f>
        <v>168268.65</v>
      </c>
      <c r="L263" s="29">
        <v>0</v>
      </c>
      <c r="M263" s="29">
        <v>0</v>
      </c>
      <c r="N263" s="29">
        <v>0</v>
      </c>
      <c r="O263" s="29">
        <v>15297.15</v>
      </c>
      <c r="P263" s="29">
        <v>152971.5</v>
      </c>
      <c r="Q263" s="88">
        <v>0</v>
      </c>
      <c r="R263" s="224"/>
      <c r="S263" s="93"/>
    </row>
    <row r="264" spans="1:19" ht="30.75" customHeight="1" x14ac:dyDescent="0.35">
      <c r="A264" s="227" t="s">
        <v>240</v>
      </c>
      <c r="B264" s="227"/>
      <c r="C264" s="227"/>
      <c r="D264" s="227"/>
      <c r="E264" s="227"/>
      <c r="F264" s="227"/>
      <c r="G264" s="227"/>
      <c r="H264" s="227"/>
      <c r="I264" s="227"/>
      <c r="J264" s="28" t="s">
        <v>8</v>
      </c>
      <c r="K264" s="1">
        <f>K210+K216+K219+K222+K225+K228+K231+K234+K237+K243+K246+K240+K249+K252+K255+K258+K213+K261</f>
        <v>3276455.5825199997</v>
      </c>
      <c r="L264" s="1">
        <f>L210+L216+L219+L222+L225+L228+L231+L234+L237+L243+L246+L240+L249+L252</f>
        <v>40844.412519999998</v>
      </c>
      <c r="M264" s="1">
        <f>M210+M216+M219+M222+M225+M228+M231+M234+M237+M243+M246+M240+M249+M252+M255+M258+M213</f>
        <v>276050.99</v>
      </c>
      <c r="N264" s="1">
        <f>N210+N216+N219+N222+N225+N228+N231+N234+N237+N243+N246+N240+N249+N252+N255+N258+N213+N261</f>
        <v>1054328.95</v>
      </c>
      <c r="O264" s="1">
        <f>O210+O216+O219+O222+O225+O228+O231+O234+O237+O243+O246+O240+O249+O252+O255+O258+O261</f>
        <v>753850.45000000007</v>
      </c>
      <c r="P264" s="1">
        <f>P210+P216+P219+P222+P225+P228+P231+P234+P237+P243+P246+P240+P249+P252+P261</f>
        <v>1151380.78</v>
      </c>
      <c r="Q264" s="1">
        <f>Q210+Q216+Q219+Q222+Q225+Q228+Q231+Q234+Q237+Q243+Q246+Q240+Q249+Q252</f>
        <v>0</v>
      </c>
      <c r="R264" s="224"/>
      <c r="S264" s="95"/>
    </row>
    <row r="265" spans="1:19" ht="40.5" customHeight="1" x14ac:dyDescent="0.25">
      <c r="A265" s="227"/>
      <c r="B265" s="227"/>
      <c r="C265" s="227"/>
      <c r="D265" s="227"/>
      <c r="E265" s="227"/>
      <c r="F265" s="227"/>
      <c r="G265" s="227"/>
      <c r="H265" s="227"/>
      <c r="I265" s="227"/>
      <c r="J265" s="28" t="s">
        <v>10</v>
      </c>
      <c r="K265" s="1">
        <f>K211+K217+K220+K223+K226+K229+K232+K235+K238+K244+K247+K241+K250+K253+K256+K259+K262</f>
        <v>2400441.77</v>
      </c>
      <c r="L265" s="1">
        <f>L211+L217+L220+L223+L226+L229+L232+L235+L238+L244+L247+L241+L250+L253+L256+L259</f>
        <v>7861.28</v>
      </c>
      <c r="M265" s="1">
        <f t="shared" ref="M265:Q265" si="112">M211+M217+M220+M223+M226+M229+M232+M235+M238+M244+M247+M241+M250+M253+M256+M259</f>
        <v>227112.63999999998</v>
      </c>
      <c r="N265" s="1">
        <f>N211+N217+N220+N223+N226+N229+N232+N235+N238+N244+N247+N241+N250+N253+N256+N259+N262</f>
        <v>786801.29</v>
      </c>
      <c r="O265" s="1">
        <f t="shared" ref="O265" si="113">O211+O217+O220+O223+O226+O229+O232+O235+O238+O244+O247+O241+O250+O253+O256+O259+O262</f>
        <v>637265.54999999981</v>
      </c>
      <c r="P265" s="1">
        <f>P211+P217+P220+P223+P226+P229+P232+P235+P238+P244+P247+P241+P250+P253+P256+P259+P262</f>
        <v>741401.01</v>
      </c>
      <c r="Q265" s="1">
        <f t="shared" si="112"/>
        <v>0</v>
      </c>
      <c r="R265" s="224"/>
      <c r="S265" s="80"/>
    </row>
    <row r="266" spans="1:19" ht="60" customHeight="1" x14ac:dyDescent="0.25">
      <c r="A266" s="227"/>
      <c r="B266" s="227"/>
      <c r="C266" s="227"/>
      <c r="D266" s="227"/>
      <c r="E266" s="227"/>
      <c r="F266" s="227"/>
      <c r="G266" s="227"/>
      <c r="H266" s="227"/>
      <c r="I266" s="227"/>
      <c r="J266" s="28" t="s">
        <v>11</v>
      </c>
      <c r="K266" s="1">
        <f>K212+K218+K221+K224+K227+K230+K233+K236+K239+K245+K248+K242+K251+K254+K257+K260+K215+K263</f>
        <v>876013.81251999992</v>
      </c>
      <c r="L266" s="1">
        <f>L212+L218+L221+L224+L227+L230+L233+L236+L239+L245+L248+L242+L251+L254</f>
        <v>32983.132519999999</v>
      </c>
      <c r="M266" s="1">
        <f>M212+M218+M221+M224+M227+M230+M233+M236+M239+M245+M248+M242+M251+M254+M257+M260+M215</f>
        <v>48938.35</v>
      </c>
      <c r="N266" s="1">
        <f>N212+N218+N221+N224+N227+N230+N233+N236+N239+N245+N248+N242+N251+N254+N257+N260+N215+N263</f>
        <v>267527.66000000003</v>
      </c>
      <c r="O266" s="1">
        <f>O212+O218+O221+O224+O227+O230+O233+O236+O239+O245+O248+O242+O251+O254+O257+O260+O263</f>
        <v>116584.90000000001</v>
      </c>
      <c r="P266" s="1">
        <f>P212+P218+P221+P224+P227+P230+P233+P236+P239+P245+P248+P242+P251+P254+P263</f>
        <v>409979.77</v>
      </c>
      <c r="Q266" s="1">
        <f>Q212+Q218+Q221+Q224+Q227+Q230+Q233+Q236+Q239+Q245+Q248+Q242+Q251+Q254</f>
        <v>0</v>
      </c>
      <c r="R266" s="224"/>
    </row>
    <row r="267" spans="1:19" ht="25.5" customHeight="1" x14ac:dyDescent="0.25">
      <c r="A267" s="228" t="s">
        <v>355</v>
      </c>
      <c r="B267" s="228"/>
      <c r="C267" s="228"/>
      <c r="D267" s="228"/>
      <c r="E267" s="228"/>
      <c r="F267" s="228"/>
      <c r="G267" s="228"/>
      <c r="H267" s="228"/>
      <c r="I267" s="228"/>
      <c r="J267" s="228"/>
      <c r="K267" s="228"/>
      <c r="L267" s="228"/>
      <c r="M267" s="228"/>
      <c r="N267" s="228"/>
      <c r="O267" s="228"/>
      <c r="P267" s="228"/>
      <c r="Q267" s="228"/>
      <c r="R267" s="228"/>
    </row>
    <row r="268" spans="1:19" ht="25.5" customHeight="1" x14ac:dyDescent="0.25">
      <c r="A268" s="215">
        <v>1</v>
      </c>
      <c r="B268" s="215" t="s">
        <v>350</v>
      </c>
      <c r="C268" s="215" t="s">
        <v>352</v>
      </c>
      <c r="D268" s="215" t="s">
        <v>351</v>
      </c>
      <c r="E268" s="215" t="s">
        <v>213</v>
      </c>
      <c r="F268" s="218" t="s">
        <v>583</v>
      </c>
      <c r="G268" s="218">
        <v>45945</v>
      </c>
      <c r="H268" s="221">
        <f>K268+I268</f>
        <v>30422.39</v>
      </c>
      <c r="I268" s="29">
        <f>I269+I270</f>
        <v>0</v>
      </c>
      <c r="J268" s="28" t="s">
        <v>14</v>
      </c>
      <c r="K268" s="29">
        <f>K269+K270</f>
        <v>30422.39</v>
      </c>
      <c r="L268" s="29">
        <f t="shared" ref="L268" si="114">L269+L270</f>
        <v>0</v>
      </c>
      <c r="M268" s="29">
        <f>M269+M270</f>
        <v>27425.89</v>
      </c>
      <c r="N268" s="29">
        <f t="shared" ref="N268:P268" si="115">N269+N270</f>
        <v>2996.5</v>
      </c>
      <c r="O268" s="29">
        <f t="shared" si="115"/>
        <v>0</v>
      </c>
      <c r="P268" s="29">
        <f t="shared" si="115"/>
        <v>0</v>
      </c>
      <c r="Q268" s="88">
        <v>0</v>
      </c>
      <c r="R268" s="215" t="s">
        <v>180</v>
      </c>
    </row>
    <row r="269" spans="1:19" ht="45.75" customHeight="1" x14ac:dyDescent="0.4">
      <c r="A269" s="216"/>
      <c r="B269" s="216"/>
      <c r="C269" s="216"/>
      <c r="D269" s="225"/>
      <c r="E269" s="216"/>
      <c r="F269" s="216"/>
      <c r="G269" s="219"/>
      <c r="H269" s="222"/>
      <c r="I269" s="29">
        <v>0</v>
      </c>
      <c r="J269" s="28" t="s">
        <v>196</v>
      </c>
      <c r="K269" s="29">
        <f>L269+M269+N269+O269+P269</f>
        <v>18101.329999999998</v>
      </c>
      <c r="L269" s="29">
        <v>0</v>
      </c>
      <c r="M269" s="29">
        <v>16772.439999999999</v>
      </c>
      <c r="N269" s="29">
        <v>1328.89</v>
      </c>
      <c r="O269" s="29">
        <v>0</v>
      </c>
      <c r="P269" s="29">
        <v>0</v>
      </c>
      <c r="Q269" s="88">
        <v>0</v>
      </c>
      <c r="R269" s="216"/>
      <c r="S269" s="86"/>
    </row>
    <row r="270" spans="1:19" ht="64.5" customHeight="1" x14ac:dyDescent="0.25">
      <c r="A270" s="217"/>
      <c r="B270" s="217"/>
      <c r="C270" s="217"/>
      <c r="D270" s="226"/>
      <c r="E270" s="217"/>
      <c r="F270" s="217"/>
      <c r="G270" s="220"/>
      <c r="H270" s="223"/>
      <c r="I270" s="29">
        <v>0</v>
      </c>
      <c r="J270" s="28" t="s">
        <v>18</v>
      </c>
      <c r="K270" s="29">
        <f>L270+M270+N270+O270+P270</f>
        <v>12321.060000000001</v>
      </c>
      <c r="L270" s="29">
        <v>0</v>
      </c>
      <c r="M270" s="29">
        <v>10653.45</v>
      </c>
      <c r="N270" s="29">
        <f>44.88+1622.73</f>
        <v>1667.6100000000001</v>
      </c>
      <c r="O270" s="29">
        <v>0</v>
      </c>
      <c r="P270" s="29">
        <v>0</v>
      </c>
      <c r="Q270" s="88">
        <v>0</v>
      </c>
      <c r="R270" s="217"/>
    </row>
    <row r="271" spans="1:19" ht="30.75" customHeight="1" x14ac:dyDescent="0.25">
      <c r="A271" s="227" t="s">
        <v>356</v>
      </c>
      <c r="B271" s="227"/>
      <c r="C271" s="227"/>
      <c r="D271" s="227"/>
      <c r="E271" s="227"/>
      <c r="F271" s="227"/>
      <c r="G271" s="227"/>
      <c r="H271" s="227"/>
      <c r="I271" s="227"/>
      <c r="J271" s="28" t="s">
        <v>8</v>
      </c>
      <c r="K271" s="1">
        <f>K268</f>
        <v>30422.39</v>
      </c>
      <c r="L271" s="1">
        <f t="shared" ref="L271:P271" si="116">L268</f>
        <v>0</v>
      </c>
      <c r="M271" s="1">
        <f>M268</f>
        <v>27425.89</v>
      </c>
      <c r="N271" s="1">
        <f t="shared" si="116"/>
        <v>2996.5</v>
      </c>
      <c r="O271" s="1">
        <f t="shared" si="116"/>
        <v>0</v>
      </c>
      <c r="P271" s="1">
        <f t="shared" si="116"/>
        <v>0</v>
      </c>
      <c r="Q271" s="1">
        <v>0</v>
      </c>
      <c r="R271" s="224"/>
    </row>
    <row r="272" spans="1:19" ht="40.5" customHeight="1" x14ac:dyDescent="0.25">
      <c r="A272" s="227"/>
      <c r="B272" s="227"/>
      <c r="C272" s="227"/>
      <c r="D272" s="227"/>
      <c r="E272" s="227"/>
      <c r="F272" s="227"/>
      <c r="G272" s="227"/>
      <c r="H272" s="227"/>
      <c r="I272" s="227"/>
      <c r="J272" s="28" t="s">
        <v>10</v>
      </c>
      <c r="K272" s="1">
        <f>K269</f>
        <v>18101.329999999998</v>
      </c>
      <c r="L272" s="1">
        <f t="shared" ref="L272:P272" si="117">L269</f>
        <v>0</v>
      </c>
      <c r="M272" s="1">
        <f>M269</f>
        <v>16772.439999999999</v>
      </c>
      <c r="N272" s="1">
        <f t="shared" si="117"/>
        <v>1328.89</v>
      </c>
      <c r="O272" s="1">
        <f t="shared" si="117"/>
        <v>0</v>
      </c>
      <c r="P272" s="1">
        <f t="shared" si="117"/>
        <v>0</v>
      </c>
      <c r="Q272" s="1">
        <v>0</v>
      </c>
      <c r="R272" s="224"/>
    </row>
    <row r="273" spans="1:22" ht="60" customHeight="1" x14ac:dyDescent="0.25">
      <c r="A273" s="227"/>
      <c r="B273" s="227"/>
      <c r="C273" s="227"/>
      <c r="D273" s="227"/>
      <c r="E273" s="227"/>
      <c r="F273" s="227"/>
      <c r="G273" s="227"/>
      <c r="H273" s="227"/>
      <c r="I273" s="227"/>
      <c r="J273" s="28" t="s">
        <v>11</v>
      </c>
      <c r="K273" s="1">
        <f>K270</f>
        <v>12321.060000000001</v>
      </c>
      <c r="L273" s="1">
        <f t="shared" ref="L273:P273" si="118">L270</f>
        <v>0</v>
      </c>
      <c r="M273" s="1">
        <f t="shared" si="118"/>
        <v>10653.45</v>
      </c>
      <c r="N273" s="1">
        <f t="shared" si="118"/>
        <v>1667.6100000000001</v>
      </c>
      <c r="O273" s="1">
        <f t="shared" si="118"/>
        <v>0</v>
      </c>
      <c r="P273" s="1">
        <f t="shared" si="118"/>
        <v>0</v>
      </c>
      <c r="Q273" s="1">
        <v>0</v>
      </c>
      <c r="R273" s="224"/>
    </row>
    <row r="274" spans="1:22" ht="25.5" customHeight="1" x14ac:dyDescent="0.25">
      <c r="A274" s="228" t="s">
        <v>419</v>
      </c>
      <c r="B274" s="228"/>
      <c r="C274" s="228"/>
      <c r="D274" s="228"/>
      <c r="E274" s="228"/>
      <c r="F274" s="228"/>
      <c r="G274" s="228"/>
      <c r="H274" s="228"/>
      <c r="I274" s="228"/>
      <c r="J274" s="228"/>
      <c r="K274" s="228"/>
      <c r="L274" s="228"/>
      <c r="M274" s="228"/>
      <c r="N274" s="228"/>
      <c r="O274" s="228"/>
      <c r="P274" s="228"/>
      <c r="Q274" s="228"/>
      <c r="R274" s="228"/>
    </row>
    <row r="275" spans="1:22" ht="51" customHeight="1" x14ac:dyDescent="0.35">
      <c r="A275" s="224">
        <v>1</v>
      </c>
      <c r="B275" s="224" t="s">
        <v>446</v>
      </c>
      <c r="C275" s="224" t="s">
        <v>435</v>
      </c>
      <c r="D275" s="224" t="s">
        <v>369</v>
      </c>
      <c r="E275" s="224" t="s">
        <v>209</v>
      </c>
      <c r="F275" s="224" t="s">
        <v>606</v>
      </c>
      <c r="G275" s="230">
        <v>46310</v>
      </c>
      <c r="H275" s="233">
        <f>N275+O275</f>
        <v>121513.29000000001</v>
      </c>
      <c r="I275" s="88">
        <v>0</v>
      </c>
      <c r="J275" s="28" t="s">
        <v>14</v>
      </c>
      <c r="K275" s="29">
        <f>K277+K276</f>
        <v>127588.95</v>
      </c>
      <c r="L275" s="29">
        <f>L276+L277</f>
        <v>0</v>
      </c>
      <c r="M275" s="29">
        <f t="shared" ref="M275:N275" si="119">M276+M277</f>
        <v>6075.66</v>
      </c>
      <c r="N275" s="29">
        <f t="shared" si="119"/>
        <v>80000</v>
      </c>
      <c r="O275" s="29">
        <f>O276+O277</f>
        <v>41513.29</v>
      </c>
      <c r="P275" s="29">
        <f>P276+P277</f>
        <v>0</v>
      </c>
      <c r="Q275" s="29">
        <f>Q276+Q277</f>
        <v>0</v>
      </c>
      <c r="R275" s="224" t="s">
        <v>180</v>
      </c>
      <c r="S275" s="82"/>
    </row>
    <row r="276" spans="1:22" ht="39" customHeight="1" x14ac:dyDescent="0.4">
      <c r="A276" s="224"/>
      <c r="B276" s="224"/>
      <c r="C276" s="224"/>
      <c r="D276" s="224"/>
      <c r="E276" s="224"/>
      <c r="F276" s="224"/>
      <c r="G276" s="224"/>
      <c r="H276" s="233"/>
      <c r="I276" s="88">
        <v>0</v>
      </c>
      <c r="J276" s="28" t="s">
        <v>196</v>
      </c>
      <c r="K276" s="29">
        <f>SUM(L276:P276)</f>
        <v>78473.27</v>
      </c>
      <c r="L276" s="29">
        <v>0</v>
      </c>
      <c r="M276" s="29">
        <v>3791.21</v>
      </c>
      <c r="N276" s="29">
        <v>49168</v>
      </c>
      <c r="O276" s="29">
        <v>25514.06</v>
      </c>
      <c r="P276" s="29">
        <v>0</v>
      </c>
      <c r="Q276" s="88">
        <v>0</v>
      </c>
      <c r="R276" s="224"/>
      <c r="S276" s="96"/>
      <c r="T276" s="86"/>
      <c r="U276" s="96"/>
    </row>
    <row r="277" spans="1:22" ht="63.75" customHeight="1" x14ac:dyDescent="0.4">
      <c r="A277" s="224"/>
      <c r="B277" s="224"/>
      <c r="C277" s="224"/>
      <c r="D277" s="224"/>
      <c r="E277" s="224"/>
      <c r="F277" s="224"/>
      <c r="G277" s="224"/>
      <c r="H277" s="233"/>
      <c r="I277" s="88">
        <v>0</v>
      </c>
      <c r="J277" s="28" t="s">
        <v>18</v>
      </c>
      <c r="K277" s="29">
        <f>SUM(L277:P277)</f>
        <v>49115.679999999993</v>
      </c>
      <c r="L277" s="29">
        <v>0</v>
      </c>
      <c r="M277" s="29">
        <v>2284.4499999999998</v>
      </c>
      <c r="N277" s="29">
        <v>30832</v>
      </c>
      <c r="O277" s="29">
        <v>15999.23</v>
      </c>
      <c r="P277" s="29">
        <v>0</v>
      </c>
      <c r="Q277" s="88">
        <v>0</v>
      </c>
      <c r="R277" s="224"/>
      <c r="S277" s="96"/>
      <c r="T277" s="97"/>
      <c r="U277" s="86"/>
    </row>
    <row r="278" spans="1:22" ht="51" customHeight="1" x14ac:dyDescent="0.25">
      <c r="A278" s="224">
        <v>2</v>
      </c>
      <c r="B278" s="224" t="s">
        <v>374</v>
      </c>
      <c r="C278" s="224" t="s">
        <v>436</v>
      </c>
      <c r="D278" s="224" t="s">
        <v>373</v>
      </c>
      <c r="E278" s="224" t="s">
        <v>209</v>
      </c>
      <c r="F278" s="224" t="s">
        <v>607</v>
      </c>
      <c r="G278" s="230">
        <v>45945</v>
      </c>
      <c r="H278" s="233">
        <f>N278</f>
        <v>300464.68</v>
      </c>
      <c r="I278" s="88">
        <v>0</v>
      </c>
      <c r="J278" s="28" t="s">
        <v>14</v>
      </c>
      <c r="K278" s="29">
        <f>K280+K279</f>
        <v>313400.24</v>
      </c>
      <c r="L278" s="29">
        <f>L279+L280</f>
        <v>0</v>
      </c>
      <c r="M278" s="29">
        <f t="shared" ref="M278:O278" si="120">M279+M280</f>
        <v>12935.560000000001</v>
      </c>
      <c r="N278" s="29">
        <f t="shared" si="120"/>
        <v>300464.68</v>
      </c>
      <c r="O278" s="29">
        <f t="shared" si="120"/>
        <v>0</v>
      </c>
      <c r="P278" s="29">
        <f>P279+P280</f>
        <v>0</v>
      </c>
      <c r="Q278" s="29">
        <f>Q279+Q280</f>
        <v>0</v>
      </c>
      <c r="R278" s="224" t="s">
        <v>180</v>
      </c>
    </row>
    <row r="279" spans="1:22" ht="39" customHeight="1" x14ac:dyDescent="0.4">
      <c r="A279" s="224"/>
      <c r="B279" s="224"/>
      <c r="C279" s="224"/>
      <c r="D279" s="224"/>
      <c r="E279" s="224"/>
      <c r="F279" s="224"/>
      <c r="G279" s="224"/>
      <c r="H279" s="233"/>
      <c r="I279" s="88">
        <v>0</v>
      </c>
      <c r="J279" s="28" t="s">
        <v>196</v>
      </c>
      <c r="K279" s="29">
        <f>SUM(L279:P279)</f>
        <v>193129.76</v>
      </c>
      <c r="L279" s="29">
        <v>0</v>
      </c>
      <c r="M279" s="29">
        <v>8071.79</v>
      </c>
      <c r="N279" s="29">
        <v>185057.97</v>
      </c>
      <c r="O279" s="29">
        <v>0</v>
      </c>
      <c r="P279" s="29">
        <v>0</v>
      </c>
      <c r="Q279" s="88">
        <v>0</v>
      </c>
      <c r="R279" s="224"/>
      <c r="S279" s="96"/>
      <c r="T279" s="86"/>
      <c r="U279" s="98"/>
      <c r="V279" s="86"/>
    </row>
    <row r="280" spans="1:22" ht="63.75" customHeight="1" x14ac:dyDescent="0.4">
      <c r="A280" s="224"/>
      <c r="B280" s="224"/>
      <c r="C280" s="224"/>
      <c r="D280" s="224"/>
      <c r="E280" s="224"/>
      <c r="F280" s="224"/>
      <c r="G280" s="224"/>
      <c r="H280" s="233"/>
      <c r="I280" s="88">
        <v>0</v>
      </c>
      <c r="J280" s="28" t="s">
        <v>18</v>
      </c>
      <c r="K280" s="29">
        <f>SUM(L280:P280)</f>
        <v>120270.48000000001</v>
      </c>
      <c r="L280" s="29">
        <v>0</v>
      </c>
      <c r="M280" s="29">
        <v>4863.7700000000004</v>
      </c>
      <c r="N280" s="29">
        <v>115406.71</v>
      </c>
      <c r="O280" s="29">
        <v>0</v>
      </c>
      <c r="P280" s="29">
        <v>0</v>
      </c>
      <c r="Q280" s="88">
        <v>0</v>
      </c>
      <c r="R280" s="224"/>
      <c r="S280" s="96"/>
      <c r="T280" s="86"/>
      <c r="U280" s="98"/>
      <c r="V280" s="86"/>
    </row>
    <row r="281" spans="1:22" ht="27.75" customHeight="1" x14ac:dyDescent="0.25">
      <c r="A281" s="224">
        <v>3</v>
      </c>
      <c r="B281" s="224" t="s">
        <v>378</v>
      </c>
      <c r="C281" s="224" t="s">
        <v>437</v>
      </c>
      <c r="D281" s="215" t="s">
        <v>377</v>
      </c>
      <c r="E281" s="215" t="s">
        <v>209</v>
      </c>
      <c r="F281" s="224" t="s">
        <v>445</v>
      </c>
      <c r="G281" s="230">
        <v>45945</v>
      </c>
      <c r="H281" s="233">
        <f>N281</f>
        <v>24825.47</v>
      </c>
      <c r="I281" s="88">
        <v>0</v>
      </c>
      <c r="J281" s="28" t="s">
        <v>14</v>
      </c>
      <c r="K281" s="29">
        <f>K283+K282</f>
        <v>26066.739999999998</v>
      </c>
      <c r="L281" s="29">
        <f>L282+L283</f>
        <v>0</v>
      </c>
      <c r="M281" s="29">
        <f>M282+M283</f>
        <v>1241.27</v>
      </c>
      <c r="N281" s="29">
        <f>N282+N283</f>
        <v>24825.47</v>
      </c>
      <c r="O281" s="29">
        <f t="shared" ref="O281" si="121">O282+O283</f>
        <v>0</v>
      </c>
      <c r="P281" s="29">
        <f>P282+P283</f>
        <v>0</v>
      </c>
      <c r="Q281" s="29">
        <f>Q282+Q283</f>
        <v>0</v>
      </c>
      <c r="R281" s="224" t="s">
        <v>180</v>
      </c>
    </row>
    <row r="282" spans="1:22" ht="39" customHeight="1" x14ac:dyDescent="0.4">
      <c r="A282" s="224"/>
      <c r="B282" s="224"/>
      <c r="C282" s="224"/>
      <c r="D282" s="216"/>
      <c r="E282" s="216"/>
      <c r="F282" s="224"/>
      <c r="G282" s="224"/>
      <c r="H282" s="233"/>
      <c r="I282" s="88">
        <v>0</v>
      </c>
      <c r="J282" s="28" t="s">
        <v>196</v>
      </c>
      <c r="K282" s="29">
        <f>SUM(L282:P282)</f>
        <v>16032.279999999999</v>
      </c>
      <c r="L282" s="29">
        <v>0</v>
      </c>
      <c r="M282" s="29">
        <v>774.55</v>
      </c>
      <c r="N282" s="29">
        <v>15257.73</v>
      </c>
      <c r="O282" s="29">
        <v>0</v>
      </c>
      <c r="P282" s="29">
        <v>0</v>
      </c>
      <c r="Q282" s="88">
        <v>0</v>
      </c>
      <c r="R282" s="224"/>
      <c r="S282" s="96"/>
      <c r="T282" s="96"/>
      <c r="U282" s="96"/>
    </row>
    <row r="283" spans="1:22" ht="63.75" customHeight="1" x14ac:dyDescent="0.4">
      <c r="A283" s="224"/>
      <c r="B283" s="224"/>
      <c r="C283" s="224"/>
      <c r="D283" s="217"/>
      <c r="E283" s="217"/>
      <c r="F283" s="224"/>
      <c r="G283" s="224"/>
      <c r="H283" s="233"/>
      <c r="I283" s="88">
        <v>0</v>
      </c>
      <c r="J283" s="28" t="s">
        <v>18</v>
      </c>
      <c r="K283" s="29">
        <f>SUM(L283:P283)</f>
        <v>10034.459999999999</v>
      </c>
      <c r="L283" s="29">
        <v>0</v>
      </c>
      <c r="M283" s="29">
        <v>466.72</v>
      </c>
      <c r="N283" s="29">
        <v>9567.74</v>
      </c>
      <c r="O283" s="29">
        <v>0</v>
      </c>
      <c r="P283" s="29">
        <v>0</v>
      </c>
      <c r="Q283" s="88">
        <v>0</v>
      </c>
      <c r="R283" s="224"/>
      <c r="S283" s="96"/>
      <c r="T283" s="96"/>
      <c r="U283" s="96"/>
    </row>
    <row r="284" spans="1:22" ht="39.75" customHeight="1" x14ac:dyDescent="0.25">
      <c r="A284" s="224">
        <v>4</v>
      </c>
      <c r="B284" s="224" t="s">
        <v>447</v>
      </c>
      <c r="C284" s="224" t="s">
        <v>438</v>
      </c>
      <c r="D284" s="224" t="s">
        <v>379</v>
      </c>
      <c r="E284" s="224" t="s">
        <v>209</v>
      </c>
      <c r="F284" s="224" t="s">
        <v>606</v>
      </c>
      <c r="G284" s="230">
        <v>46310</v>
      </c>
      <c r="H284" s="233">
        <f>N284+O284</f>
        <v>175874.25</v>
      </c>
      <c r="I284" s="88">
        <v>0</v>
      </c>
      <c r="J284" s="28" t="s">
        <v>14</v>
      </c>
      <c r="K284" s="29">
        <f>K286+K285</f>
        <v>184667.97</v>
      </c>
      <c r="L284" s="29">
        <f>L285+L286</f>
        <v>0</v>
      </c>
      <c r="M284" s="29">
        <f t="shared" ref="M284:O284" si="122">M285+M286</f>
        <v>8793.7199999999993</v>
      </c>
      <c r="N284" s="29">
        <f t="shared" si="122"/>
        <v>87937</v>
      </c>
      <c r="O284" s="29">
        <f t="shared" si="122"/>
        <v>87937.25</v>
      </c>
      <c r="P284" s="29">
        <f>P285+P286</f>
        <v>0</v>
      </c>
      <c r="Q284" s="29">
        <f>Q285+Q286</f>
        <v>0</v>
      </c>
      <c r="R284" s="224" t="s">
        <v>180</v>
      </c>
    </row>
    <row r="285" spans="1:22" ht="39" customHeight="1" x14ac:dyDescent="0.25">
      <c r="A285" s="224"/>
      <c r="B285" s="224"/>
      <c r="C285" s="224"/>
      <c r="D285" s="224"/>
      <c r="E285" s="224"/>
      <c r="F285" s="224"/>
      <c r="G285" s="224"/>
      <c r="H285" s="233"/>
      <c r="I285" s="88">
        <v>0</v>
      </c>
      <c r="J285" s="28" t="s">
        <v>196</v>
      </c>
      <c r="K285" s="29">
        <f>SUM(L285:P285)</f>
        <v>113579.59</v>
      </c>
      <c r="L285" s="29">
        <v>0</v>
      </c>
      <c r="M285" s="29">
        <v>5487.28</v>
      </c>
      <c r="N285" s="29">
        <v>54046.080000000002</v>
      </c>
      <c r="O285" s="29">
        <v>54046.23</v>
      </c>
      <c r="P285" s="29">
        <v>0</v>
      </c>
      <c r="Q285" s="88">
        <v>0</v>
      </c>
      <c r="R285" s="224"/>
      <c r="S285" s="89"/>
    </row>
    <row r="286" spans="1:22" ht="63.75" customHeight="1" x14ac:dyDescent="0.35">
      <c r="A286" s="224"/>
      <c r="B286" s="224"/>
      <c r="C286" s="224"/>
      <c r="D286" s="224"/>
      <c r="E286" s="224"/>
      <c r="F286" s="224"/>
      <c r="G286" s="224"/>
      <c r="H286" s="233"/>
      <c r="I286" s="88">
        <v>0</v>
      </c>
      <c r="J286" s="28" t="s">
        <v>18</v>
      </c>
      <c r="K286" s="29">
        <f>SUM(L286:P286)</f>
        <v>71088.38</v>
      </c>
      <c r="L286" s="29">
        <v>0</v>
      </c>
      <c r="M286" s="29">
        <v>3306.44</v>
      </c>
      <c r="N286" s="29">
        <v>33890.92</v>
      </c>
      <c r="O286" s="29">
        <v>33891.019999999997</v>
      </c>
      <c r="P286" s="29">
        <v>0</v>
      </c>
      <c r="Q286" s="88">
        <v>0</v>
      </c>
      <c r="R286" s="224"/>
      <c r="S286" s="93"/>
    </row>
    <row r="287" spans="1:22" ht="27.75" customHeight="1" x14ac:dyDescent="0.25">
      <c r="A287" s="224">
        <v>5</v>
      </c>
      <c r="B287" s="224" t="s">
        <v>439</v>
      </c>
      <c r="C287" s="224" t="s">
        <v>440</v>
      </c>
      <c r="D287" s="224" t="s">
        <v>380</v>
      </c>
      <c r="E287" s="224" t="s">
        <v>209</v>
      </c>
      <c r="F287" s="224" t="s">
        <v>608</v>
      </c>
      <c r="G287" s="230">
        <v>46310</v>
      </c>
      <c r="H287" s="233">
        <f>K287</f>
        <v>101234.95999999999</v>
      </c>
      <c r="I287" s="88">
        <v>0</v>
      </c>
      <c r="J287" s="28" t="s">
        <v>14</v>
      </c>
      <c r="K287" s="29">
        <f>K289+K288</f>
        <v>101234.95999999999</v>
      </c>
      <c r="L287" s="29">
        <f>L288+L289</f>
        <v>0</v>
      </c>
      <c r="M287" s="29">
        <f t="shared" ref="M287:O287" si="123">M288+M289</f>
        <v>5061.75</v>
      </c>
      <c r="N287" s="29">
        <f t="shared" si="123"/>
        <v>84173.209999999992</v>
      </c>
      <c r="O287" s="29">
        <f t="shared" si="123"/>
        <v>12000</v>
      </c>
      <c r="P287" s="29">
        <f>P288+P289</f>
        <v>0</v>
      </c>
      <c r="Q287" s="29">
        <f>Q288+Q289</f>
        <v>0</v>
      </c>
      <c r="R287" s="224" t="s">
        <v>180</v>
      </c>
    </row>
    <row r="288" spans="1:22" ht="39" customHeight="1" x14ac:dyDescent="0.25">
      <c r="A288" s="224"/>
      <c r="B288" s="224"/>
      <c r="C288" s="224"/>
      <c r="D288" s="224"/>
      <c r="E288" s="224"/>
      <c r="F288" s="224"/>
      <c r="G288" s="224"/>
      <c r="H288" s="233"/>
      <c r="I288" s="88">
        <v>0</v>
      </c>
      <c r="J288" s="28" t="s">
        <v>196</v>
      </c>
      <c r="K288" s="29">
        <f>SUM(L288:P288)</f>
        <v>63170.609999999993</v>
      </c>
      <c r="L288" s="29">
        <v>0</v>
      </c>
      <c r="M288" s="29">
        <v>3158.53</v>
      </c>
      <c r="N288" s="29">
        <v>52524.09</v>
      </c>
      <c r="O288" s="29">
        <v>7487.99</v>
      </c>
      <c r="P288" s="29">
        <v>0</v>
      </c>
      <c r="Q288" s="88">
        <v>0</v>
      </c>
      <c r="R288" s="224"/>
      <c r="S288" s="89"/>
    </row>
    <row r="289" spans="1:21" ht="63.75" customHeight="1" x14ac:dyDescent="0.35">
      <c r="A289" s="224"/>
      <c r="B289" s="224"/>
      <c r="C289" s="224"/>
      <c r="D289" s="224"/>
      <c r="E289" s="224"/>
      <c r="F289" s="224"/>
      <c r="G289" s="224"/>
      <c r="H289" s="233"/>
      <c r="I289" s="88">
        <v>0</v>
      </c>
      <c r="J289" s="28" t="s">
        <v>18</v>
      </c>
      <c r="K289" s="29">
        <f>SUM(L289:P289)</f>
        <v>38064.35</v>
      </c>
      <c r="L289" s="29">
        <v>0</v>
      </c>
      <c r="M289" s="29">
        <v>1903.22</v>
      </c>
      <c r="N289" s="29">
        <v>31649.119999999999</v>
      </c>
      <c r="O289" s="29">
        <v>4512.01</v>
      </c>
      <c r="P289" s="29">
        <v>0</v>
      </c>
      <c r="Q289" s="88">
        <v>0</v>
      </c>
      <c r="R289" s="224"/>
      <c r="S289" s="93"/>
    </row>
    <row r="290" spans="1:21" ht="27.75" customHeight="1" x14ac:dyDescent="0.25">
      <c r="A290" s="224">
        <v>6</v>
      </c>
      <c r="B290" s="224" t="s">
        <v>448</v>
      </c>
      <c r="C290" s="224" t="s">
        <v>441</v>
      </c>
      <c r="D290" s="224" t="s">
        <v>382</v>
      </c>
      <c r="E290" s="224" t="s">
        <v>209</v>
      </c>
      <c r="F290" s="224" t="s">
        <v>607</v>
      </c>
      <c r="G290" s="230">
        <v>45945</v>
      </c>
      <c r="H290" s="233">
        <f>N290</f>
        <v>34962.83</v>
      </c>
      <c r="I290" s="88">
        <v>0</v>
      </c>
      <c r="J290" s="28" t="s">
        <v>14</v>
      </c>
      <c r="K290" s="29">
        <f>K292+K291</f>
        <v>37042.67</v>
      </c>
      <c r="L290" s="29">
        <f>L291+L292</f>
        <v>0</v>
      </c>
      <c r="M290" s="29">
        <f t="shared" ref="M290:O290" si="124">M291+M292</f>
        <v>2079.84</v>
      </c>
      <c r="N290" s="29">
        <f t="shared" si="124"/>
        <v>34962.83</v>
      </c>
      <c r="O290" s="29">
        <f t="shared" si="124"/>
        <v>0</v>
      </c>
      <c r="P290" s="29">
        <f>P291+P292</f>
        <v>0</v>
      </c>
      <c r="Q290" s="29">
        <f>Q291+Q292</f>
        <v>0</v>
      </c>
      <c r="R290" s="224" t="s">
        <v>180</v>
      </c>
    </row>
    <row r="291" spans="1:21" ht="39" customHeight="1" x14ac:dyDescent="0.25">
      <c r="A291" s="224"/>
      <c r="B291" s="224"/>
      <c r="C291" s="224"/>
      <c r="D291" s="224"/>
      <c r="E291" s="224"/>
      <c r="F291" s="224"/>
      <c r="G291" s="224"/>
      <c r="H291" s="233"/>
      <c r="I291" s="88">
        <v>0</v>
      </c>
      <c r="J291" s="28" t="s">
        <v>196</v>
      </c>
      <c r="K291" s="29">
        <f>SUM(L291:P291)</f>
        <v>22803.26</v>
      </c>
      <c r="L291" s="29">
        <v>0</v>
      </c>
      <c r="M291" s="29">
        <v>1297.82</v>
      </c>
      <c r="N291" s="29">
        <v>21505.439999999999</v>
      </c>
      <c r="O291" s="29">
        <v>0</v>
      </c>
      <c r="P291" s="29">
        <v>0</v>
      </c>
      <c r="Q291" s="88">
        <v>0</v>
      </c>
      <c r="R291" s="224"/>
      <c r="S291" s="89"/>
    </row>
    <row r="292" spans="1:21" ht="63.75" customHeight="1" x14ac:dyDescent="0.35">
      <c r="A292" s="224"/>
      <c r="B292" s="224"/>
      <c r="C292" s="224"/>
      <c r="D292" s="224"/>
      <c r="E292" s="224"/>
      <c r="F292" s="224"/>
      <c r="G292" s="224"/>
      <c r="H292" s="233"/>
      <c r="I292" s="88">
        <v>0</v>
      </c>
      <c r="J292" s="28" t="s">
        <v>18</v>
      </c>
      <c r="K292" s="29">
        <f>SUM(L292:P292)</f>
        <v>14239.41</v>
      </c>
      <c r="L292" s="29">
        <v>0</v>
      </c>
      <c r="M292" s="29">
        <v>782.02</v>
      </c>
      <c r="N292" s="29">
        <v>13457.39</v>
      </c>
      <c r="O292" s="29">
        <v>0</v>
      </c>
      <c r="P292" s="29">
        <v>0</v>
      </c>
      <c r="Q292" s="88">
        <v>0</v>
      </c>
      <c r="R292" s="224"/>
      <c r="S292" s="93"/>
    </row>
    <row r="293" spans="1:21" ht="27.75" customHeight="1" x14ac:dyDescent="0.25">
      <c r="A293" s="224">
        <v>7</v>
      </c>
      <c r="B293" s="224" t="s">
        <v>383</v>
      </c>
      <c r="C293" s="224" t="s">
        <v>442</v>
      </c>
      <c r="D293" s="224" t="s">
        <v>384</v>
      </c>
      <c r="E293" s="224" t="s">
        <v>209</v>
      </c>
      <c r="F293" s="224" t="s">
        <v>608</v>
      </c>
      <c r="G293" s="230">
        <v>46310</v>
      </c>
      <c r="H293" s="233">
        <f>K293</f>
        <v>89933.68</v>
      </c>
      <c r="I293" s="88">
        <v>0</v>
      </c>
      <c r="J293" s="28" t="s">
        <v>14</v>
      </c>
      <c r="K293" s="29">
        <f>K295+K294</f>
        <v>89933.68</v>
      </c>
      <c r="L293" s="29">
        <f>L294+L295</f>
        <v>0</v>
      </c>
      <c r="M293" s="29">
        <f t="shared" ref="M293:O293" si="125">M294+M295</f>
        <v>4496.68</v>
      </c>
      <c r="N293" s="29">
        <f t="shared" si="125"/>
        <v>68920.88</v>
      </c>
      <c r="O293" s="29">
        <f t="shared" si="125"/>
        <v>16516.12</v>
      </c>
      <c r="P293" s="29">
        <f>P294+P295</f>
        <v>0</v>
      </c>
      <c r="Q293" s="29">
        <f>Q294+Q295</f>
        <v>0</v>
      </c>
      <c r="R293" s="224" t="s">
        <v>180</v>
      </c>
    </row>
    <row r="294" spans="1:21" ht="39" customHeight="1" x14ac:dyDescent="0.4">
      <c r="A294" s="224"/>
      <c r="B294" s="224"/>
      <c r="C294" s="224"/>
      <c r="D294" s="224"/>
      <c r="E294" s="224"/>
      <c r="F294" s="224"/>
      <c r="G294" s="224"/>
      <c r="H294" s="233"/>
      <c r="I294" s="88">
        <v>0</v>
      </c>
      <c r="J294" s="28" t="s">
        <v>196</v>
      </c>
      <c r="K294" s="29">
        <f>SUM(L294:P294)</f>
        <v>56118.619999999995</v>
      </c>
      <c r="L294" s="29">
        <v>0</v>
      </c>
      <c r="M294" s="29">
        <v>2805.93</v>
      </c>
      <c r="N294" s="29">
        <v>43006.63</v>
      </c>
      <c r="O294" s="29">
        <v>10306.06</v>
      </c>
      <c r="P294" s="29">
        <v>0</v>
      </c>
      <c r="Q294" s="88">
        <v>0</v>
      </c>
      <c r="R294" s="224"/>
      <c r="S294" s="97"/>
      <c r="T294" s="97"/>
      <c r="U294" s="97"/>
    </row>
    <row r="295" spans="1:21" ht="63.75" customHeight="1" x14ac:dyDescent="0.4">
      <c r="A295" s="224"/>
      <c r="B295" s="224"/>
      <c r="C295" s="224"/>
      <c r="D295" s="224"/>
      <c r="E295" s="224"/>
      <c r="F295" s="224"/>
      <c r="G295" s="224"/>
      <c r="H295" s="233"/>
      <c r="I295" s="88">
        <v>0</v>
      </c>
      <c r="J295" s="28" t="s">
        <v>18</v>
      </c>
      <c r="K295" s="29">
        <f>SUM(L295:P295)</f>
        <v>33815.06</v>
      </c>
      <c r="L295" s="29">
        <v>0</v>
      </c>
      <c r="M295" s="29">
        <v>1690.75</v>
      </c>
      <c r="N295" s="29">
        <v>25914.25</v>
      </c>
      <c r="O295" s="29">
        <v>6210.06</v>
      </c>
      <c r="P295" s="29">
        <v>0</v>
      </c>
      <c r="Q295" s="88">
        <v>0</v>
      </c>
      <c r="R295" s="224"/>
      <c r="S295" s="97"/>
      <c r="T295" s="97"/>
      <c r="U295" s="97"/>
    </row>
    <row r="296" spans="1:21" ht="49.5" customHeight="1" x14ac:dyDescent="0.25">
      <c r="A296" s="224">
        <v>8</v>
      </c>
      <c r="B296" s="224" t="s">
        <v>388</v>
      </c>
      <c r="C296" s="224" t="s">
        <v>443</v>
      </c>
      <c r="D296" s="224" t="s">
        <v>387</v>
      </c>
      <c r="E296" s="224" t="s">
        <v>209</v>
      </c>
      <c r="F296" s="224" t="s">
        <v>445</v>
      </c>
      <c r="G296" s="230">
        <v>45945</v>
      </c>
      <c r="H296" s="233">
        <f>N296</f>
        <v>30672.83</v>
      </c>
      <c r="I296" s="88">
        <v>0</v>
      </c>
      <c r="J296" s="28" t="s">
        <v>14</v>
      </c>
      <c r="K296" s="29">
        <f>K298+K297</f>
        <v>31898.27</v>
      </c>
      <c r="L296" s="29">
        <f>L297+L298</f>
        <v>0</v>
      </c>
      <c r="M296" s="29">
        <f t="shared" ref="M296:O296" si="126">M297+M298</f>
        <v>1225.44</v>
      </c>
      <c r="N296" s="124">
        <f t="shared" si="126"/>
        <v>30672.83</v>
      </c>
      <c r="O296" s="29">
        <f t="shared" si="126"/>
        <v>0</v>
      </c>
      <c r="P296" s="29">
        <f>P297+P298</f>
        <v>0</v>
      </c>
      <c r="Q296" s="29">
        <f>Q297+Q298</f>
        <v>0</v>
      </c>
      <c r="R296" s="224" t="s">
        <v>180</v>
      </c>
    </row>
    <row r="297" spans="1:21" ht="39" customHeight="1" x14ac:dyDescent="0.25">
      <c r="A297" s="224"/>
      <c r="B297" s="224"/>
      <c r="C297" s="224"/>
      <c r="D297" s="224"/>
      <c r="E297" s="224"/>
      <c r="F297" s="224"/>
      <c r="G297" s="224"/>
      <c r="H297" s="233"/>
      <c r="I297" s="88">
        <v>0</v>
      </c>
      <c r="J297" s="28" t="s">
        <v>196</v>
      </c>
      <c r="K297" s="29">
        <f>SUM(L297:P297)</f>
        <v>19674.12</v>
      </c>
      <c r="L297" s="29">
        <v>0</v>
      </c>
      <c r="M297" s="29">
        <v>764.67</v>
      </c>
      <c r="N297" s="124">
        <f>15063.1+3846.35</f>
        <v>18909.45</v>
      </c>
      <c r="O297" s="29">
        <v>0</v>
      </c>
      <c r="P297" s="29">
        <v>0</v>
      </c>
      <c r="Q297" s="88">
        <v>0</v>
      </c>
      <c r="R297" s="224"/>
      <c r="S297" s="89"/>
    </row>
    <row r="298" spans="1:21" ht="63.75" customHeight="1" x14ac:dyDescent="0.35">
      <c r="A298" s="224"/>
      <c r="B298" s="224"/>
      <c r="C298" s="224"/>
      <c r="D298" s="224"/>
      <c r="E298" s="224"/>
      <c r="F298" s="224"/>
      <c r="G298" s="224"/>
      <c r="H298" s="233"/>
      <c r="I298" s="88">
        <v>0</v>
      </c>
      <c r="J298" s="28" t="s">
        <v>18</v>
      </c>
      <c r="K298" s="29">
        <f>SUM(L298:P298)</f>
        <v>12224.150000000001</v>
      </c>
      <c r="L298" s="29">
        <v>0</v>
      </c>
      <c r="M298" s="29">
        <v>460.77</v>
      </c>
      <c r="N298" s="124">
        <f>9445.7+2317.68</f>
        <v>11763.380000000001</v>
      </c>
      <c r="O298" s="29">
        <v>0</v>
      </c>
      <c r="P298" s="29">
        <v>0</v>
      </c>
      <c r="Q298" s="88">
        <v>0</v>
      </c>
      <c r="R298" s="224"/>
      <c r="S298" s="93"/>
    </row>
    <row r="299" spans="1:21" ht="34.5" customHeight="1" x14ac:dyDescent="0.25">
      <c r="A299" s="224">
        <v>9</v>
      </c>
      <c r="B299" s="224" t="s">
        <v>389</v>
      </c>
      <c r="C299" s="224" t="s">
        <v>442</v>
      </c>
      <c r="D299" s="224" t="s">
        <v>351</v>
      </c>
      <c r="E299" s="224" t="s">
        <v>209</v>
      </c>
      <c r="F299" s="224" t="s">
        <v>606</v>
      </c>
      <c r="G299" s="230">
        <v>46310</v>
      </c>
      <c r="H299" s="233">
        <f>N299+O299</f>
        <v>89531.66</v>
      </c>
      <c r="I299" s="88">
        <v>0</v>
      </c>
      <c r="J299" s="28" t="s">
        <v>14</v>
      </c>
      <c r="K299" s="29">
        <f>K301+K300</f>
        <v>93993.2</v>
      </c>
      <c r="L299" s="29">
        <f>L300+L301</f>
        <v>0</v>
      </c>
      <c r="M299" s="29">
        <f t="shared" ref="M299:O299" si="127">M300+M301</f>
        <v>4461.54</v>
      </c>
      <c r="N299" s="29">
        <f t="shared" si="127"/>
        <v>69549.41</v>
      </c>
      <c r="O299" s="29">
        <f t="shared" si="127"/>
        <v>19982.25</v>
      </c>
      <c r="P299" s="29">
        <f>P300+P301</f>
        <v>0</v>
      </c>
      <c r="Q299" s="29">
        <f>Q300+Q301</f>
        <v>0</v>
      </c>
      <c r="R299" s="224" t="s">
        <v>180</v>
      </c>
    </row>
    <row r="300" spans="1:21" ht="39" customHeight="1" x14ac:dyDescent="0.25">
      <c r="A300" s="224"/>
      <c r="B300" s="224"/>
      <c r="C300" s="224"/>
      <c r="D300" s="224"/>
      <c r="E300" s="224"/>
      <c r="F300" s="224"/>
      <c r="G300" s="224"/>
      <c r="H300" s="233"/>
      <c r="I300" s="88">
        <v>0</v>
      </c>
      <c r="J300" s="28" t="s">
        <v>196</v>
      </c>
      <c r="K300" s="29">
        <f>SUM(L300:P300)</f>
        <v>57625.149999999994</v>
      </c>
      <c r="L300" s="29">
        <v>0</v>
      </c>
      <c r="M300" s="29">
        <v>2784</v>
      </c>
      <c r="N300" s="29">
        <v>42560.06</v>
      </c>
      <c r="O300" s="29">
        <v>12281.09</v>
      </c>
      <c r="P300" s="29">
        <v>0</v>
      </c>
      <c r="Q300" s="88">
        <v>0</v>
      </c>
      <c r="R300" s="224"/>
      <c r="S300" s="89"/>
    </row>
    <row r="301" spans="1:21" ht="63.75" customHeight="1" x14ac:dyDescent="0.35">
      <c r="A301" s="224"/>
      <c r="B301" s="224"/>
      <c r="C301" s="224"/>
      <c r="D301" s="224"/>
      <c r="E301" s="224"/>
      <c r="F301" s="224"/>
      <c r="G301" s="224"/>
      <c r="H301" s="233"/>
      <c r="I301" s="88">
        <v>0</v>
      </c>
      <c r="J301" s="28" t="s">
        <v>18</v>
      </c>
      <c r="K301" s="29">
        <f>SUM(L301:P301)</f>
        <v>36368.050000000003</v>
      </c>
      <c r="L301" s="29">
        <v>0</v>
      </c>
      <c r="M301" s="29">
        <v>1677.54</v>
      </c>
      <c r="N301" s="29">
        <v>26989.35</v>
      </c>
      <c r="O301" s="29">
        <v>7701.16</v>
      </c>
      <c r="P301" s="29">
        <v>0</v>
      </c>
      <c r="Q301" s="88">
        <v>0</v>
      </c>
      <c r="R301" s="224"/>
      <c r="S301" s="93"/>
    </row>
    <row r="302" spans="1:21" ht="27.75" customHeight="1" x14ac:dyDescent="0.25">
      <c r="A302" s="224">
        <v>10</v>
      </c>
      <c r="B302" s="224" t="s">
        <v>395</v>
      </c>
      <c r="C302" s="224" t="s">
        <v>444</v>
      </c>
      <c r="D302" s="224" t="s">
        <v>390</v>
      </c>
      <c r="E302" s="224" t="s">
        <v>209</v>
      </c>
      <c r="F302" s="224" t="s">
        <v>606</v>
      </c>
      <c r="G302" s="230">
        <v>46310</v>
      </c>
      <c r="H302" s="233">
        <f>N302+O302</f>
        <v>228900.74</v>
      </c>
      <c r="I302" s="88">
        <v>0</v>
      </c>
      <c r="J302" s="28" t="s">
        <v>14</v>
      </c>
      <c r="K302" s="29">
        <f>K304+K303</f>
        <v>240326.94</v>
      </c>
      <c r="L302" s="29">
        <f>L303+L304</f>
        <v>0</v>
      </c>
      <c r="M302" s="29">
        <f t="shared" ref="M302:O302" si="128">M303+M304</f>
        <v>11426.2</v>
      </c>
      <c r="N302" s="29">
        <f t="shared" si="128"/>
        <v>203900.75</v>
      </c>
      <c r="O302" s="29">
        <f t="shared" si="128"/>
        <v>24999.989999999998</v>
      </c>
      <c r="P302" s="29">
        <f>P303+P304</f>
        <v>0</v>
      </c>
      <c r="Q302" s="29">
        <f>Q303+Q304</f>
        <v>0</v>
      </c>
      <c r="R302" s="224" t="s">
        <v>180</v>
      </c>
    </row>
    <row r="303" spans="1:21" ht="39" customHeight="1" x14ac:dyDescent="0.25">
      <c r="A303" s="224"/>
      <c r="B303" s="224"/>
      <c r="C303" s="224"/>
      <c r="D303" s="224"/>
      <c r="E303" s="224"/>
      <c r="F303" s="224"/>
      <c r="G303" s="224"/>
      <c r="H303" s="233"/>
      <c r="I303" s="88">
        <v>0</v>
      </c>
      <c r="J303" s="28" t="s">
        <v>196</v>
      </c>
      <c r="K303" s="29">
        <f>SUM(L303:P303)</f>
        <v>147580.88</v>
      </c>
      <c r="L303" s="29">
        <v>0</v>
      </c>
      <c r="M303" s="29">
        <v>7129.95</v>
      </c>
      <c r="N303" s="29">
        <v>125085.94</v>
      </c>
      <c r="O303" s="29">
        <v>15364.99</v>
      </c>
      <c r="P303" s="29">
        <v>0</v>
      </c>
      <c r="Q303" s="88">
        <v>0</v>
      </c>
      <c r="R303" s="224"/>
      <c r="S303" s="89"/>
    </row>
    <row r="304" spans="1:21" ht="63.75" customHeight="1" x14ac:dyDescent="0.35">
      <c r="A304" s="224"/>
      <c r="B304" s="224"/>
      <c r="C304" s="224"/>
      <c r="D304" s="224"/>
      <c r="E304" s="224"/>
      <c r="F304" s="224"/>
      <c r="G304" s="224"/>
      <c r="H304" s="233"/>
      <c r="I304" s="88">
        <v>0</v>
      </c>
      <c r="J304" s="28" t="s">
        <v>18</v>
      </c>
      <c r="K304" s="29">
        <f>SUM(L304:P304)</f>
        <v>92746.06</v>
      </c>
      <c r="L304" s="29">
        <v>0</v>
      </c>
      <c r="M304" s="29">
        <v>4296.25</v>
      </c>
      <c r="N304" s="29">
        <v>78814.81</v>
      </c>
      <c r="O304" s="29">
        <v>9635</v>
      </c>
      <c r="P304" s="29">
        <v>0</v>
      </c>
      <c r="Q304" s="88">
        <v>0</v>
      </c>
      <c r="R304" s="224"/>
      <c r="S304" s="93"/>
    </row>
    <row r="305" spans="1:18" ht="30.75" customHeight="1" x14ac:dyDescent="0.25">
      <c r="A305" s="227" t="s">
        <v>418</v>
      </c>
      <c r="B305" s="227"/>
      <c r="C305" s="227"/>
      <c r="D305" s="227"/>
      <c r="E305" s="227"/>
      <c r="F305" s="227"/>
      <c r="G305" s="227"/>
      <c r="H305" s="227"/>
      <c r="I305" s="227"/>
      <c r="J305" s="28" t="s">
        <v>8</v>
      </c>
      <c r="K305" s="1">
        <f>K275+K278+K281+K284+K287+K290+K293+K296+K299+K302</f>
        <v>1246153.6199999999</v>
      </c>
      <c r="L305" s="1">
        <f t="shared" ref="L305:P305" si="129">L275+L278+L281+L284+L287+L290+L293+L296+L299+L302</f>
        <v>0</v>
      </c>
      <c r="M305" s="1">
        <f t="shared" si="129"/>
        <v>57797.66</v>
      </c>
      <c r="N305" s="1">
        <f t="shared" si="129"/>
        <v>985407.05999999994</v>
      </c>
      <c r="O305" s="1">
        <f>O275+O278+O281+O284+O287+O290+O293+O296+O299+O302</f>
        <v>202948.9</v>
      </c>
      <c r="P305" s="1">
        <f t="shared" si="129"/>
        <v>0</v>
      </c>
      <c r="Q305" s="1">
        <v>0</v>
      </c>
      <c r="R305" s="224"/>
    </row>
    <row r="306" spans="1:18" ht="40.5" customHeight="1" x14ac:dyDescent="0.25">
      <c r="A306" s="227"/>
      <c r="B306" s="227"/>
      <c r="C306" s="227"/>
      <c r="D306" s="227"/>
      <c r="E306" s="227"/>
      <c r="F306" s="227"/>
      <c r="G306" s="227"/>
      <c r="H306" s="227"/>
      <c r="I306" s="227"/>
      <c r="J306" s="28" t="s">
        <v>10</v>
      </c>
      <c r="K306" s="1">
        <f t="shared" ref="K306:P307" si="130">K276+K279+K282+K285+K288+K291+K294+K297+K300+K303</f>
        <v>768187.54</v>
      </c>
      <c r="L306" s="1">
        <f t="shared" si="130"/>
        <v>0</v>
      </c>
      <c r="M306" s="1">
        <f t="shared" si="130"/>
        <v>36065.729999999996</v>
      </c>
      <c r="N306" s="1">
        <f>N276+N279+N282+N285+N288+N291+N294+N297+N300+N303</f>
        <v>607121.39</v>
      </c>
      <c r="O306" s="1">
        <f t="shared" si="130"/>
        <v>125000.42000000001</v>
      </c>
      <c r="P306" s="1">
        <f t="shared" si="130"/>
        <v>0</v>
      </c>
      <c r="Q306" s="1">
        <v>0</v>
      </c>
      <c r="R306" s="224"/>
    </row>
    <row r="307" spans="1:18" ht="60" customHeight="1" x14ac:dyDescent="0.25">
      <c r="A307" s="227"/>
      <c r="B307" s="227"/>
      <c r="C307" s="227"/>
      <c r="D307" s="227"/>
      <c r="E307" s="227"/>
      <c r="F307" s="227"/>
      <c r="G307" s="227"/>
      <c r="H307" s="227"/>
      <c r="I307" s="227"/>
      <c r="J307" s="28" t="s">
        <v>11</v>
      </c>
      <c r="K307" s="1">
        <f t="shared" si="130"/>
        <v>477966.07999999996</v>
      </c>
      <c r="L307" s="1">
        <f t="shared" si="130"/>
        <v>0</v>
      </c>
      <c r="M307" s="1">
        <f t="shared" si="130"/>
        <v>21731.93</v>
      </c>
      <c r="N307" s="1">
        <f t="shared" si="130"/>
        <v>378285.67</v>
      </c>
      <c r="O307" s="1">
        <f t="shared" si="130"/>
        <v>77948.479999999996</v>
      </c>
      <c r="P307" s="1">
        <f t="shared" si="130"/>
        <v>0</v>
      </c>
      <c r="Q307" s="1">
        <v>0</v>
      </c>
      <c r="R307" s="224"/>
    </row>
    <row r="308" spans="1:18" ht="25.5" customHeight="1" x14ac:dyDescent="0.25">
      <c r="A308" s="228" t="s">
        <v>410</v>
      </c>
      <c r="B308" s="228"/>
      <c r="C308" s="228"/>
      <c r="D308" s="228"/>
      <c r="E308" s="228"/>
      <c r="F308" s="228"/>
      <c r="G308" s="228"/>
      <c r="H308" s="228"/>
      <c r="I308" s="228"/>
      <c r="J308" s="228"/>
      <c r="K308" s="228"/>
      <c r="L308" s="228"/>
      <c r="M308" s="228"/>
      <c r="N308" s="228"/>
      <c r="O308" s="228"/>
      <c r="P308" s="228"/>
      <c r="Q308" s="228"/>
      <c r="R308" s="228"/>
    </row>
    <row r="309" spans="1:18" ht="30" customHeight="1" x14ac:dyDescent="0.25">
      <c r="A309" s="224">
        <v>1</v>
      </c>
      <c r="B309" s="224" t="s">
        <v>155</v>
      </c>
      <c r="C309" s="224" t="s">
        <v>244</v>
      </c>
      <c r="D309" s="224" t="s">
        <v>245</v>
      </c>
      <c r="E309" s="224" t="s">
        <v>209</v>
      </c>
      <c r="F309" s="224" t="s">
        <v>392</v>
      </c>
      <c r="G309" s="230">
        <v>45945</v>
      </c>
      <c r="H309" s="233">
        <f>N309</f>
        <v>235570.91999999998</v>
      </c>
      <c r="I309" s="88">
        <v>0</v>
      </c>
      <c r="J309" s="28" t="s">
        <v>14</v>
      </c>
      <c r="K309" s="29">
        <f>K310+K311</f>
        <v>448090.94999999995</v>
      </c>
      <c r="L309" s="29">
        <f t="shared" ref="L309:P309" si="131">L310+L311</f>
        <v>0</v>
      </c>
      <c r="M309" s="29">
        <f t="shared" si="131"/>
        <v>212520.03</v>
      </c>
      <c r="N309" s="29">
        <f t="shared" si="131"/>
        <v>235570.91999999998</v>
      </c>
      <c r="O309" s="29">
        <f t="shared" si="131"/>
        <v>0</v>
      </c>
      <c r="P309" s="29">
        <f t="shared" si="131"/>
        <v>0</v>
      </c>
      <c r="Q309" s="88">
        <v>0</v>
      </c>
      <c r="R309" s="224" t="s">
        <v>180</v>
      </c>
    </row>
    <row r="310" spans="1:18" ht="46.5" customHeight="1" x14ac:dyDescent="0.25">
      <c r="A310" s="224"/>
      <c r="B310" s="224"/>
      <c r="C310" s="224"/>
      <c r="D310" s="234"/>
      <c r="E310" s="224"/>
      <c r="F310" s="224"/>
      <c r="G310" s="230"/>
      <c r="H310" s="233"/>
      <c r="I310" s="88">
        <v>0</v>
      </c>
      <c r="J310" s="28" t="s">
        <v>196</v>
      </c>
      <c r="K310" s="29">
        <f>SUM(L310:P310)</f>
        <v>239654.99</v>
      </c>
      <c r="L310" s="29">
        <v>0</v>
      </c>
      <c r="M310" s="29">
        <v>132612.5</v>
      </c>
      <c r="N310" s="29">
        <v>107042.49</v>
      </c>
      <c r="O310" s="29">
        <v>0</v>
      </c>
      <c r="P310" s="29">
        <v>0</v>
      </c>
      <c r="Q310" s="88">
        <v>0</v>
      </c>
      <c r="R310" s="224"/>
    </row>
    <row r="311" spans="1:18" ht="63.75" customHeight="1" x14ac:dyDescent="0.25">
      <c r="A311" s="224"/>
      <c r="B311" s="224"/>
      <c r="C311" s="224"/>
      <c r="D311" s="234"/>
      <c r="E311" s="224"/>
      <c r="F311" s="224"/>
      <c r="G311" s="230"/>
      <c r="H311" s="233"/>
      <c r="I311" s="88">
        <v>0</v>
      </c>
      <c r="J311" s="28" t="s">
        <v>18</v>
      </c>
      <c r="K311" s="29">
        <f>SUM(L311:P311)</f>
        <v>208435.96</v>
      </c>
      <c r="L311" s="29">
        <v>0</v>
      </c>
      <c r="M311" s="29">
        <v>79907.53</v>
      </c>
      <c r="N311" s="29">
        <v>128528.43</v>
      </c>
      <c r="O311" s="29">
        <v>0</v>
      </c>
      <c r="P311" s="29">
        <v>0</v>
      </c>
      <c r="Q311" s="88">
        <v>0</v>
      </c>
      <c r="R311" s="224"/>
    </row>
    <row r="312" spans="1:18" ht="30.75" customHeight="1" x14ac:dyDescent="0.25">
      <c r="A312" s="240" t="s">
        <v>423</v>
      </c>
      <c r="B312" s="241"/>
      <c r="C312" s="241"/>
      <c r="D312" s="241"/>
      <c r="E312" s="241"/>
      <c r="F312" s="241"/>
      <c r="G312" s="241"/>
      <c r="H312" s="241"/>
      <c r="I312" s="242"/>
      <c r="J312" s="28" t="s">
        <v>8</v>
      </c>
      <c r="K312" s="1">
        <f>K309</f>
        <v>448090.94999999995</v>
      </c>
      <c r="L312" s="1">
        <f t="shared" ref="L312:P312" si="132">L309</f>
        <v>0</v>
      </c>
      <c r="M312" s="1">
        <f t="shared" si="132"/>
        <v>212520.03</v>
      </c>
      <c r="N312" s="1">
        <f t="shared" si="132"/>
        <v>235570.91999999998</v>
      </c>
      <c r="O312" s="1">
        <f t="shared" si="132"/>
        <v>0</v>
      </c>
      <c r="P312" s="1">
        <f t="shared" si="132"/>
        <v>0</v>
      </c>
      <c r="Q312" s="1">
        <v>0</v>
      </c>
      <c r="R312" s="215"/>
    </row>
    <row r="313" spans="1:18" ht="40.5" customHeight="1" x14ac:dyDescent="0.25">
      <c r="A313" s="243"/>
      <c r="B313" s="244"/>
      <c r="C313" s="244"/>
      <c r="D313" s="244"/>
      <c r="E313" s="244"/>
      <c r="F313" s="244"/>
      <c r="G313" s="244"/>
      <c r="H313" s="244"/>
      <c r="I313" s="245"/>
      <c r="J313" s="28" t="s">
        <v>10</v>
      </c>
      <c r="K313" s="1">
        <f t="shared" ref="K313:P314" si="133">K310</f>
        <v>239654.99</v>
      </c>
      <c r="L313" s="1">
        <f t="shared" si="133"/>
        <v>0</v>
      </c>
      <c r="M313" s="1">
        <f t="shared" si="133"/>
        <v>132612.5</v>
      </c>
      <c r="N313" s="1">
        <f t="shared" si="133"/>
        <v>107042.49</v>
      </c>
      <c r="O313" s="1">
        <f t="shared" si="133"/>
        <v>0</v>
      </c>
      <c r="P313" s="1">
        <f t="shared" si="133"/>
        <v>0</v>
      </c>
      <c r="Q313" s="1">
        <v>0</v>
      </c>
      <c r="R313" s="216"/>
    </row>
    <row r="314" spans="1:18" ht="60" customHeight="1" x14ac:dyDescent="0.25">
      <c r="A314" s="246"/>
      <c r="B314" s="247"/>
      <c r="C314" s="247"/>
      <c r="D314" s="247"/>
      <c r="E314" s="247"/>
      <c r="F314" s="247"/>
      <c r="G314" s="247"/>
      <c r="H314" s="247"/>
      <c r="I314" s="248"/>
      <c r="J314" s="28" t="s">
        <v>11</v>
      </c>
      <c r="K314" s="1">
        <f t="shared" si="133"/>
        <v>208435.96</v>
      </c>
      <c r="L314" s="1">
        <f t="shared" si="133"/>
        <v>0</v>
      </c>
      <c r="M314" s="1">
        <f t="shared" si="133"/>
        <v>79907.53</v>
      </c>
      <c r="N314" s="1">
        <f t="shared" si="133"/>
        <v>128528.43</v>
      </c>
      <c r="O314" s="1">
        <f t="shared" si="133"/>
        <v>0</v>
      </c>
      <c r="P314" s="1">
        <f t="shared" si="133"/>
        <v>0</v>
      </c>
      <c r="Q314" s="1">
        <v>0</v>
      </c>
      <c r="R314" s="217"/>
    </row>
    <row r="315" spans="1:18" ht="20.25" customHeight="1" x14ac:dyDescent="0.3">
      <c r="A315" s="99"/>
      <c r="B315" s="100"/>
      <c r="C315" s="7"/>
      <c r="D315" s="7"/>
      <c r="E315" s="7"/>
      <c r="F315" s="7"/>
      <c r="G315" s="7"/>
      <c r="H315" s="7">
        <f>SUM(H11:H311)</f>
        <v>22502217.872149996</v>
      </c>
      <c r="I315" s="7">
        <f>I63+I12+I15+I18+I21+I24+I27+I30+I100+I106+I119+I128+I136+I139+I142+I210+I216+I219+I222+I225+I228+I92+I243+I246+I33+I36+I39+I103+I145+I231+I234+I237+I240+I249+I252+I42+I152+I278+I177+I45+I48+I51+I54+I57+I60+I69+I79+I82</f>
        <v>253696.43887000001</v>
      </c>
      <c r="J315" s="101" t="s">
        <v>14</v>
      </c>
      <c r="K315" s="7">
        <f t="shared" ref="K315:N315" si="134">K210+K100+K12+K216+K219+K106+K63+K119+K128+K136+K139+K222+K225+K15+K18+K21+K24+K27+K30+K228+K142+K92+K231+K237+K240+K243+K246+K103+K33+K36+K39+K145+K234+K249+K252+K42+K268+K152+K162+K165+K168+K171+K309+K255+K258+K45+K174+K177+K275+K278+K281+K284+K287+K290+K293+K296+K299+K302+K180+K183+K48+K51+K54+K57+K60+K66+K69+K79+K82+K213+K261+K85+K109</f>
        <v>17845505.118520003</v>
      </c>
      <c r="L315" s="7">
        <f t="shared" si="134"/>
        <v>697380.40652000008</v>
      </c>
      <c r="M315" s="7">
        <f t="shared" si="134"/>
        <v>2441444.6520000002</v>
      </c>
      <c r="N315" s="7">
        <f t="shared" si="134"/>
        <v>3807807.2400000007</v>
      </c>
      <c r="O315" s="7">
        <f>O210+O100+O12+O216+O219+O106+O63+O119+O128+O136+O139+O222+O225+O15+O18+O21+O24+O27+O30+O228+O142+O92+O231+O237+O240+O243+O246+O103+O33+O36+O39+O145+O234+O249+O252+O42+O268+O152+O162+O165+O168+O171+O309+O255+O258+O45+O174+O177+O275+O278+O281+O284+O287+O290+O293+O296+O299+O302+O180+O183+O48+O51+O54+O57+O60+O66+O69+O79+O82+O213+O261+O85+O109+O197+O200+O203+O112+O72</f>
        <v>6827440.2673199987</v>
      </c>
      <c r="P315" s="7">
        <f>P210+P100+P12+P216+P219+P106+P63+P119+P128+P136+P139+P222+P225+P15+P18+P21+P24+P27+P30+P228+P142+P92+P231+P237+P240+P243+P246+P103+P33+P36+P39+P145+P234+P249+P252+P42+P268+P152+P162+P165+P168+P171+P309+P255+P258+P45+P174+P177+P275+P278+P281+P284+P287+P290+P293+P296+P299+P302+P180+P183+P48+P51+P54+P57+P60+P66+P69+P79+P82+P213+P261+P85+P109+P197+P200+P203+P112+P72</f>
        <v>4556061.5499999989</v>
      </c>
      <c r="Q315" s="7">
        <f>Q210+Q100+Q12+Q216+Q219+Q106+Q63+Q119+Q128+Q136+Q139+Q222+Q225+Q15+Q18+Q21+Q24+Q27+Q30+Q228+Q142+Q92+Q231+Q237+Q240+Q243+Q246+Q103+Q33+Q36+Q39+Q145+Q234+Q249+Q252+Q42+Q268+Q152+Q162+Q165+Q168+Q171+Q309+Q255+Q258+Q45+Q174+Q177+Q275+Q278+Q281+Q284+Q287+Q290+Q293+Q296+Q299+Q302+Q180+Q183+Q48+Q51+Q54+Q57+Q60+Q66+Q69+Q79+Q82+Q213+Q261</f>
        <v>0</v>
      </c>
      <c r="R315" s="102"/>
    </row>
    <row r="316" spans="1:18" ht="16.5" x14ac:dyDescent="0.25">
      <c r="A316" s="103"/>
      <c r="B316" s="104"/>
      <c r="C316" s="104"/>
      <c r="D316" s="104"/>
      <c r="E316" s="104"/>
      <c r="F316" s="104"/>
      <c r="G316" s="104"/>
      <c r="H316" s="104"/>
      <c r="Q316" s="106"/>
      <c r="R316" s="107"/>
    </row>
    <row r="317" spans="1:18" ht="16.5" x14ac:dyDescent="0.25">
      <c r="A317" s="103"/>
      <c r="B317" s="104"/>
      <c r="C317" s="104"/>
      <c r="D317" s="104"/>
      <c r="E317" s="104"/>
      <c r="F317" s="104"/>
      <c r="G317" s="104"/>
      <c r="H317" s="104"/>
      <c r="Q317" s="108" t="s">
        <v>156</v>
      </c>
      <c r="R317" s="107"/>
    </row>
    <row r="318" spans="1:18" ht="16.5" x14ac:dyDescent="0.25">
      <c r="A318" s="103"/>
      <c r="B318" s="104"/>
      <c r="C318" s="104"/>
      <c r="D318" s="104"/>
      <c r="E318" s="104"/>
      <c r="F318" s="104"/>
      <c r="G318" s="104"/>
      <c r="H318" s="104"/>
      <c r="Q318" s="106"/>
      <c r="R318" s="107"/>
    </row>
    <row r="319" spans="1:18" s="84" customFormat="1" ht="21" customHeight="1" x14ac:dyDescent="0.3">
      <c r="A319" s="109" t="s">
        <v>353</v>
      </c>
      <c r="B319" s="109"/>
      <c r="C319" s="110"/>
      <c r="D319" s="110"/>
      <c r="E319" s="110"/>
      <c r="F319" s="110"/>
      <c r="G319" s="110"/>
      <c r="H319" s="110"/>
      <c r="I319" s="111"/>
      <c r="J319" s="112"/>
      <c r="O319" s="8" t="s">
        <v>354</v>
      </c>
      <c r="P319" s="113"/>
      <c r="Q319" s="113"/>
    </row>
    <row r="320" spans="1:18" ht="18.75" customHeight="1" x14ac:dyDescent="0.25">
      <c r="B320" s="114"/>
      <c r="C320" s="115"/>
      <c r="D320" s="115"/>
      <c r="E320" s="115"/>
      <c r="F320" s="115"/>
      <c r="G320" s="115"/>
      <c r="H320" s="115"/>
      <c r="L320" s="116"/>
      <c r="O320" s="9"/>
    </row>
    <row r="321" spans="1:17" ht="18.75" x14ac:dyDescent="0.3">
      <c r="A321" s="10"/>
      <c r="B321" s="117"/>
      <c r="C321" s="116"/>
      <c r="D321" s="116"/>
      <c r="E321" s="116"/>
      <c r="F321" s="116"/>
      <c r="G321" s="116"/>
      <c r="H321" s="116"/>
      <c r="I321" s="117"/>
      <c r="J321" s="118"/>
      <c r="O321" s="10"/>
    </row>
    <row r="323" spans="1:17" ht="26.25" x14ac:dyDescent="0.4">
      <c r="K323" s="86"/>
      <c r="L323" s="11"/>
      <c r="M323" s="11"/>
      <c r="N323" s="11"/>
      <c r="O323" s="11"/>
      <c r="P323" s="11"/>
      <c r="Q323" s="86"/>
    </row>
    <row r="324" spans="1:17" ht="26.25" x14ac:dyDescent="0.4">
      <c r="K324" s="86"/>
      <c r="L324" s="11"/>
      <c r="M324" s="11"/>
      <c r="N324" s="11"/>
      <c r="O324" s="11"/>
      <c r="P324" s="11"/>
      <c r="Q324" s="86"/>
    </row>
    <row r="325" spans="1:17" ht="26.25" x14ac:dyDescent="0.4">
      <c r="K325" s="86"/>
      <c r="L325" s="11"/>
      <c r="M325" s="11"/>
      <c r="N325" s="11"/>
      <c r="O325" s="11"/>
      <c r="P325" s="11"/>
      <c r="Q325" s="86"/>
    </row>
    <row r="326" spans="1:17" ht="26.25" x14ac:dyDescent="0.4">
      <c r="K326" s="86"/>
      <c r="L326" s="11"/>
      <c r="M326" s="11"/>
      <c r="N326" s="11"/>
    </row>
    <row r="329" spans="1:17" x14ac:dyDescent="0.25">
      <c r="L329" s="80"/>
      <c r="M329" s="80"/>
      <c r="N329" s="80"/>
    </row>
    <row r="330" spans="1:17" x14ac:dyDescent="0.25">
      <c r="L330" s="80"/>
      <c r="M330" s="80"/>
      <c r="N330" s="80"/>
    </row>
    <row r="331" spans="1:17" x14ac:dyDescent="0.25">
      <c r="L331" s="80"/>
      <c r="M331" s="80"/>
      <c r="N331" s="80"/>
    </row>
    <row r="332" spans="1:17" x14ac:dyDescent="0.25">
      <c r="L332" s="80"/>
      <c r="M332" s="80"/>
      <c r="N332" s="80"/>
    </row>
  </sheetData>
  <mergeCells count="789">
    <mergeCell ref="R148:R150"/>
    <mergeCell ref="D162:D164"/>
    <mergeCell ref="D174:D176"/>
    <mergeCell ref="E174:E176"/>
    <mergeCell ref="F174:F176"/>
    <mergeCell ref="G174:G176"/>
    <mergeCell ref="R174:R176"/>
    <mergeCell ref="R168:R170"/>
    <mergeCell ref="H171:H173"/>
    <mergeCell ref="R171:R173"/>
    <mergeCell ref="H168:H170"/>
    <mergeCell ref="R162:R164"/>
    <mergeCell ref="H155:H157"/>
    <mergeCell ref="F165:F167"/>
    <mergeCell ref="R152:R154"/>
    <mergeCell ref="A151:R151"/>
    <mergeCell ref="A171:A173"/>
    <mergeCell ref="B171:B173"/>
    <mergeCell ref="C152:C154"/>
    <mergeCell ref="D152:D154"/>
    <mergeCell ref="R155:R157"/>
    <mergeCell ref="F162:F164"/>
    <mergeCell ref="A168:A170"/>
    <mergeCell ref="C155:C157"/>
    <mergeCell ref="A312:I314"/>
    <mergeCell ref="R312:R314"/>
    <mergeCell ref="A308:R308"/>
    <mergeCell ref="A309:A311"/>
    <mergeCell ref="B309:B311"/>
    <mergeCell ref="C309:C311"/>
    <mergeCell ref="D309:D311"/>
    <mergeCell ref="E309:E311"/>
    <mergeCell ref="F309:F311"/>
    <mergeCell ref="G309:G311"/>
    <mergeCell ref="H309:H311"/>
    <mergeCell ref="R309:R311"/>
    <mergeCell ref="R219:R221"/>
    <mergeCell ref="C237:C239"/>
    <mergeCell ref="H219:H221"/>
    <mergeCell ref="E222:E224"/>
    <mergeCell ref="H222:H224"/>
    <mergeCell ref="C225:C227"/>
    <mergeCell ref="D225:D227"/>
    <mergeCell ref="C240:C242"/>
    <mergeCell ref="H240:H242"/>
    <mergeCell ref="F240:F242"/>
    <mergeCell ref="C228:C230"/>
    <mergeCell ref="G228:G230"/>
    <mergeCell ref="G237:G239"/>
    <mergeCell ref="H228:H230"/>
    <mergeCell ref="E231:E233"/>
    <mergeCell ref="F231:F233"/>
    <mergeCell ref="D234:D236"/>
    <mergeCell ref="H225:H227"/>
    <mergeCell ref="F225:F227"/>
    <mergeCell ref="G219:G221"/>
    <mergeCell ref="C219:C221"/>
    <mergeCell ref="G231:G233"/>
    <mergeCell ref="D222:D224"/>
    <mergeCell ref="E234:E236"/>
    <mergeCell ref="C210:C212"/>
    <mergeCell ref="A186:I188"/>
    <mergeCell ref="D177:D179"/>
    <mergeCell ref="A177:A179"/>
    <mergeCell ref="F177:F179"/>
    <mergeCell ref="A180:A182"/>
    <mergeCell ref="B180:B182"/>
    <mergeCell ref="C180:C182"/>
    <mergeCell ref="D180:D182"/>
    <mergeCell ref="F183:F185"/>
    <mergeCell ref="H180:H182"/>
    <mergeCell ref="E180:E182"/>
    <mergeCell ref="A210:A212"/>
    <mergeCell ref="E183:E185"/>
    <mergeCell ref="A189:R189"/>
    <mergeCell ref="R190:R192"/>
    <mergeCell ref="R186:R188"/>
    <mergeCell ref="D183:D185"/>
    <mergeCell ref="G183:G185"/>
    <mergeCell ref="R180:R182"/>
    <mergeCell ref="A183:A185"/>
    <mergeCell ref="R177:R179"/>
    <mergeCell ref="E177:E179"/>
    <mergeCell ref="C177:C179"/>
    <mergeCell ref="F234:F236"/>
    <mergeCell ref="A237:A239"/>
    <mergeCell ref="R228:R230"/>
    <mergeCell ref="R222:R224"/>
    <mergeCell ref="B237:B239"/>
    <mergeCell ref="C234:C236"/>
    <mergeCell ref="H234:H236"/>
    <mergeCell ref="G222:G224"/>
    <mergeCell ref="G234:G236"/>
    <mergeCell ref="H231:H233"/>
    <mergeCell ref="G225:G227"/>
    <mergeCell ref="F222:F224"/>
    <mergeCell ref="D228:D230"/>
    <mergeCell ref="R231:R233"/>
    <mergeCell ref="E228:E230"/>
    <mergeCell ref="F228:F230"/>
    <mergeCell ref="A234:A236"/>
    <mergeCell ref="A131:I133"/>
    <mergeCell ref="G165:G167"/>
    <mergeCell ref="B139:B141"/>
    <mergeCell ref="D128:D130"/>
    <mergeCell ref="E128:E130"/>
    <mergeCell ref="E142:E144"/>
    <mergeCell ref="D240:D242"/>
    <mergeCell ref="E240:E242"/>
    <mergeCell ref="R225:R227"/>
    <mergeCell ref="H237:H239"/>
    <mergeCell ref="A174:A176"/>
    <mergeCell ref="G177:G179"/>
    <mergeCell ref="H177:H179"/>
    <mergeCell ref="D171:D173"/>
    <mergeCell ref="E171:E173"/>
    <mergeCell ref="B168:B170"/>
    <mergeCell ref="A165:A167"/>
    <mergeCell ref="B228:B230"/>
    <mergeCell ref="B231:B233"/>
    <mergeCell ref="B165:B167"/>
    <mergeCell ref="A190:A192"/>
    <mergeCell ref="B190:B192"/>
    <mergeCell ref="C190:C192"/>
    <mergeCell ref="D190:D192"/>
    <mergeCell ref="R142:R144"/>
    <mergeCell ref="D145:D147"/>
    <mergeCell ref="A134:R134"/>
    <mergeCell ref="H139:H141"/>
    <mergeCell ref="A135:R135"/>
    <mergeCell ref="A136:A138"/>
    <mergeCell ref="B136:B138"/>
    <mergeCell ref="R145:R147"/>
    <mergeCell ref="D142:D144"/>
    <mergeCell ref="G142:G144"/>
    <mergeCell ref="R139:R141"/>
    <mergeCell ref="F142:F144"/>
    <mergeCell ref="G136:G138"/>
    <mergeCell ref="H136:H138"/>
    <mergeCell ref="G139:G141"/>
    <mergeCell ref="C139:C141"/>
    <mergeCell ref="A139:A141"/>
    <mergeCell ref="A142:A144"/>
    <mergeCell ref="G145:G147"/>
    <mergeCell ref="C142:C144"/>
    <mergeCell ref="E136:E138"/>
    <mergeCell ref="C136:C138"/>
    <mergeCell ref="D136:D138"/>
    <mergeCell ref="F139:F141"/>
    <mergeCell ref="D249:D251"/>
    <mergeCell ref="B246:B248"/>
    <mergeCell ref="C246:C248"/>
    <mergeCell ref="D246:D248"/>
    <mergeCell ref="A219:A221"/>
    <mergeCell ref="E219:E221"/>
    <mergeCell ref="B219:B221"/>
    <mergeCell ref="F219:F221"/>
    <mergeCell ref="D231:D233"/>
    <mergeCell ref="C231:C233"/>
    <mergeCell ref="A222:A224"/>
    <mergeCell ref="A231:A233"/>
    <mergeCell ref="E225:E227"/>
    <mergeCell ref="B225:B227"/>
    <mergeCell ref="F246:F248"/>
    <mergeCell ref="B222:B224"/>
    <mergeCell ref="A240:A242"/>
    <mergeCell ref="B234:B236"/>
    <mergeCell ref="A243:A245"/>
    <mergeCell ref="D219:D221"/>
    <mergeCell ref="B240:B242"/>
    <mergeCell ref="A225:A227"/>
    <mergeCell ref="A228:A230"/>
    <mergeCell ref="C222:C224"/>
    <mergeCell ref="R63:R65"/>
    <mergeCell ref="S48:S50"/>
    <mergeCell ref="R88:R90"/>
    <mergeCell ref="A99:R99"/>
    <mergeCell ref="E82:E84"/>
    <mergeCell ref="F82:F84"/>
    <mergeCell ref="G240:G242"/>
    <mergeCell ref="G249:G251"/>
    <mergeCell ref="H249:H251"/>
    <mergeCell ref="R240:R242"/>
    <mergeCell ref="R246:R248"/>
    <mergeCell ref="C100:C102"/>
    <mergeCell ref="C106:C108"/>
    <mergeCell ref="D106:D108"/>
    <mergeCell ref="A109:A111"/>
    <mergeCell ref="B109:B111"/>
    <mergeCell ref="C119:C122"/>
    <mergeCell ref="C109:C111"/>
    <mergeCell ref="D109:D111"/>
    <mergeCell ref="C103:C105"/>
    <mergeCell ref="D103:D105"/>
    <mergeCell ref="A115:I117"/>
    <mergeCell ref="F109:F111"/>
    <mergeCell ref="G109:G111"/>
    <mergeCell ref="H60:H62"/>
    <mergeCell ref="R60:R62"/>
    <mergeCell ref="R75:R77"/>
    <mergeCell ref="R66:R68"/>
    <mergeCell ref="F60:F62"/>
    <mergeCell ref="G60:G62"/>
    <mergeCell ref="S42:S44"/>
    <mergeCell ref="A42:A44"/>
    <mergeCell ref="B42:B44"/>
    <mergeCell ref="C42:C44"/>
    <mergeCell ref="D42:D44"/>
    <mergeCell ref="E42:E44"/>
    <mergeCell ref="F42:F44"/>
    <mergeCell ref="A66:A68"/>
    <mergeCell ref="B66:B68"/>
    <mergeCell ref="C66:C68"/>
    <mergeCell ref="D66:D68"/>
    <mergeCell ref="E66:E68"/>
    <mergeCell ref="F66:F68"/>
    <mergeCell ref="S45:S47"/>
    <mergeCell ref="D60:D62"/>
    <mergeCell ref="E60:E62"/>
    <mergeCell ref="H45:H47"/>
    <mergeCell ref="E54:E56"/>
    <mergeCell ref="G85:G87"/>
    <mergeCell ref="H85:H87"/>
    <mergeCell ref="R85:R87"/>
    <mergeCell ref="F72:F74"/>
    <mergeCell ref="G72:G74"/>
    <mergeCell ref="H72:H74"/>
    <mergeCell ref="A88:I90"/>
    <mergeCell ref="D92:D94"/>
    <mergeCell ref="R72:R74"/>
    <mergeCell ref="R79:R81"/>
    <mergeCell ref="E79:E81"/>
    <mergeCell ref="H79:H81"/>
    <mergeCell ref="A92:A94"/>
    <mergeCell ref="E92:E94"/>
    <mergeCell ref="F92:F94"/>
    <mergeCell ref="G92:G94"/>
    <mergeCell ref="B92:B94"/>
    <mergeCell ref="H66:H68"/>
    <mergeCell ref="H82:H84"/>
    <mergeCell ref="F69:F71"/>
    <mergeCell ref="F79:F81"/>
    <mergeCell ref="A78:R78"/>
    <mergeCell ref="G69:G71"/>
    <mergeCell ref="H69:H71"/>
    <mergeCell ref="G79:G81"/>
    <mergeCell ref="B72:B74"/>
    <mergeCell ref="C72:C74"/>
    <mergeCell ref="D72:D74"/>
    <mergeCell ref="C79:C81"/>
    <mergeCell ref="E72:E74"/>
    <mergeCell ref="R69:R71"/>
    <mergeCell ref="E69:E71"/>
    <mergeCell ref="G66:G68"/>
    <mergeCell ref="C82:C84"/>
    <mergeCell ref="D82:D84"/>
    <mergeCell ref="B69:B71"/>
    <mergeCell ref="C69:C71"/>
    <mergeCell ref="D69:D71"/>
    <mergeCell ref="A79:A81"/>
    <mergeCell ref="F128:F130"/>
    <mergeCell ref="P1:R1"/>
    <mergeCell ref="P2:R2"/>
    <mergeCell ref="D237:D239"/>
    <mergeCell ref="E237:E239"/>
    <mergeCell ref="G210:G212"/>
    <mergeCell ref="H210:H212"/>
    <mergeCell ref="R234:R236"/>
    <mergeCell ref="R136:R138"/>
    <mergeCell ref="F136:F138"/>
    <mergeCell ref="R123:R126"/>
    <mergeCell ref="A118:R118"/>
    <mergeCell ref="H42:H44"/>
    <mergeCell ref="R42:R44"/>
    <mergeCell ref="A75:I77"/>
    <mergeCell ref="A91:R91"/>
    <mergeCell ref="H92:H94"/>
    <mergeCell ref="R92:R94"/>
    <mergeCell ref="B145:B147"/>
    <mergeCell ref="A11:R11"/>
    <mergeCell ref="A12:A14"/>
    <mergeCell ref="B12:B14"/>
    <mergeCell ref="R12:R14"/>
    <mergeCell ref="F12:F14"/>
    <mergeCell ref="A95:I97"/>
    <mergeCell ref="A98:R98"/>
    <mergeCell ref="R95:R97"/>
    <mergeCell ref="C12:C14"/>
    <mergeCell ref="D57:D59"/>
    <mergeCell ref="H36:H38"/>
    <mergeCell ref="H57:H59"/>
    <mergeCell ref="R39:R41"/>
    <mergeCell ref="P4:R4"/>
    <mergeCell ref="C5:O5"/>
    <mergeCell ref="A10:R10"/>
    <mergeCell ref="A7:A8"/>
    <mergeCell ref="B7:B8"/>
    <mergeCell ref="C7:C8"/>
    <mergeCell ref="D7:D8"/>
    <mergeCell ref="E7:E8"/>
    <mergeCell ref="G7:G8"/>
    <mergeCell ref="H7:H8"/>
    <mergeCell ref="I7:I8"/>
    <mergeCell ref="J7:J8"/>
    <mergeCell ref="K7:P7"/>
    <mergeCell ref="F7:F8"/>
    <mergeCell ref="Q7:Q8"/>
    <mergeCell ref="R7:R8"/>
    <mergeCell ref="H12:H14"/>
    <mergeCell ref="F18:F20"/>
    <mergeCell ref="G18:G20"/>
    <mergeCell ref="F15:F17"/>
    <mergeCell ref="H27:H29"/>
    <mergeCell ref="H15:H17"/>
    <mergeCell ref="F21:F23"/>
    <mergeCell ref="G21:G23"/>
    <mergeCell ref="H21:H23"/>
    <mergeCell ref="G15:G17"/>
    <mergeCell ref="G24:G26"/>
    <mergeCell ref="H24:H26"/>
    <mergeCell ref="G27:G29"/>
    <mergeCell ref="G12:G14"/>
    <mergeCell ref="C15:C17"/>
    <mergeCell ref="D15:D17"/>
    <mergeCell ref="A103:A105"/>
    <mergeCell ref="C92:C94"/>
    <mergeCell ref="B103:B105"/>
    <mergeCell ref="A100:A102"/>
    <mergeCell ref="A148:I150"/>
    <mergeCell ref="H152:H154"/>
    <mergeCell ref="A15:A17"/>
    <mergeCell ref="C21:C23"/>
    <mergeCell ref="H18:H20"/>
    <mergeCell ref="G63:G65"/>
    <mergeCell ref="H63:H65"/>
    <mergeCell ref="F63:F65"/>
    <mergeCell ref="C30:C32"/>
    <mergeCell ref="D30:D32"/>
    <mergeCell ref="G42:G44"/>
    <mergeCell ref="H30:H32"/>
    <mergeCell ref="E24:E26"/>
    <mergeCell ref="A18:A20"/>
    <mergeCell ref="D100:D102"/>
    <mergeCell ref="C57:C59"/>
    <mergeCell ref="E57:E59"/>
    <mergeCell ref="F57:F59"/>
    <mergeCell ref="G57:G59"/>
    <mergeCell ref="F45:F47"/>
    <mergeCell ref="G45:G47"/>
    <mergeCell ref="R57:R59"/>
    <mergeCell ref="C39:C41"/>
    <mergeCell ref="D39:D41"/>
    <mergeCell ref="E39:E41"/>
    <mergeCell ref="F39:F41"/>
    <mergeCell ref="G39:G41"/>
    <mergeCell ref="H39:H41"/>
    <mergeCell ref="C45:C47"/>
    <mergeCell ref="D45:D47"/>
    <mergeCell ref="C51:C53"/>
    <mergeCell ref="R48:R50"/>
    <mergeCell ref="R30:R32"/>
    <mergeCell ref="G30:G32"/>
    <mergeCell ref="A30:A32"/>
    <mergeCell ref="E30:E32"/>
    <mergeCell ref="F30:F32"/>
    <mergeCell ref="B15:B17"/>
    <mergeCell ref="D24:D26"/>
    <mergeCell ref="G36:G38"/>
    <mergeCell ref="E15:E17"/>
    <mergeCell ref="E21:E23"/>
    <mergeCell ref="F27:F29"/>
    <mergeCell ref="F24:F26"/>
    <mergeCell ref="B30:B32"/>
    <mergeCell ref="B33:B35"/>
    <mergeCell ref="B18:B20"/>
    <mergeCell ref="B24:B26"/>
    <mergeCell ref="C24:C26"/>
    <mergeCell ref="E36:E38"/>
    <mergeCell ref="F36:F38"/>
    <mergeCell ref="R27:R29"/>
    <mergeCell ref="R21:R23"/>
    <mergeCell ref="R15:R17"/>
    <mergeCell ref="R24:R26"/>
    <mergeCell ref="R18:R20"/>
    <mergeCell ref="A39:A41"/>
    <mergeCell ref="A36:A38"/>
    <mergeCell ref="B36:B38"/>
    <mergeCell ref="A45:A47"/>
    <mergeCell ref="D33:D35"/>
    <mergeCell ref="B45:B47"/>
    <mergeCell ref="B51:B53"/>
    <mergeCell ref="H33:H35"/>
    <mergeCell ref="R33:R35"/>
    <mergeCell ref="C33:C35"/>
    <mergeCell ref="F33:F35"/>
    <mergeCell ref="G33:G35"/>
    <mergeCell ref="E33:E35"/>
    <mergeCell ref="B39:B41"/>
    <mergeCell ref="E45:E47"/>
    <mergeCell ref="R45:R47"/>
    <mergeCell ref="D51:D53"/>
    <mergeCell ref="E51:E53"/>
    <mergeCell ref="R36:R38"/>
    <mergeCell ref="D12:D14"/>
    <mergeCell ref="E12:E14"/>
    <mergeCell ref="A21:A23"/>
    <mergeCell ref="B21:B23"/>
    <mergeCell ref="A63:A65"/>
    <mergeCell ref="B63:B65"/>
    <mergeCell ref="C63:C65"/>
    <mergeCell ref="D63:D65"/>
    <mergeCell ref="E63:E65"/>
    <mergeCell ref="A27:A29"/>
    <mergeCell ref="B27:B29"/>
    <mergeCell ref="C27:C29"/>
    <mergeCell ref="D27:D29"/>
    <mergeCell ref="E27:E29"/>
    <mergeCell ref="E18:E20"/>
    <mergeCell ref="C18:C20"/>
    <mergeCell ref="D18:D20"/>
    <mergeCell ref="D21:D23"/>
    <mergeCell ref="C36:C38"/>
    <mergeCell ref="D36:D38"/>
    <mergeCell ref="A33:A35"/>
    <mergeCell ref="A24:A26"/>
    <mergeCell ref="A57:A59"/>
    <mergeCell ref="B57:B59"/>
    <mergeCell ref="H142:H144"/>
    <mergeCell ref="G162:G164"/>
    <mergeCell ref="H145:H147"/>
    <mergeCell ref="D139:D141"/>
    <mergeCell ref="E139:E141"/>
    <mergeCell ref="F145:F147"/>
    <mergeCell ref="A145:A147"/>
    <mergeCell ref="B142:B144"/>
    <mergeCell ref="C145:C147"/>
    <mergeCell ref="E152:E154"/>
    <mergeCell ref="F152:F154"/>
    <mergeCell ref="G152:G154"/>
    <mergeCell ref="A152:A154"/>
    <mergeCell ref="B152:B154"/>
    <mergeCell ref="G155:G157"/>
    <mergeCell ref="E145:E147"/>
    <mergeCell ref="E155:E157"/>
    <mergeCell ref="A161:R161"/>
    <mergeCell ref="A162:A164"/>
    <mergeCell ref="B162:B164"/>
    <mergeCell ref="R158:R160"/>
    <mergeCell ref="A158:I160"/>
    <mergeCell ref="F155:F157"/>
    <mergeCell ref="C162:C164"/>
    <mergeCell ref="D155:D157"/>
    <mergeCell ref="A155:A157"/>
    <mergeCell ref="B155:B157"/>
    <mergeCell ref="E162:E164"/>
    <mergeCell ref="H162:H164"/>
    <mergeCell ref="H165:H167"/>
    <mergeCell ref="H174:H176"/>
    <mergeCell ref="C171:C173"/>
    <mergeCell ref="G171:G173"/>
    <mergeCell ref="A60:A62"/>
    <mergeCell ref="B60:B62"/>
    <mergeCell ref="C60:C62"/>
    <mergeCell ref="B79:B81"/>
    <mergeCell ref="A72:A74"/>
    <mergeCell ref="D79:D81"/>
    <mergeCell ref="A69:A71"/>
    <mergeCell ref="R131:R133"/>
    <mergeCell ref="R128:R130"/>
    <mergeCell ref="R82:R84"/>
    <mergeCell ref="A85:A87"/>
    <mergeCell ref="B85:B87"/>
    <mergeCell ref="C85:C87"/>
    <mergeCell ref="D85:D87"/>
    <mergeCell ref="E85:E87"/>
    <mergeCell ref="F85:F87"/>
    <mergeCell ref="B82:B84"/>
    <mergeCell ref="A82:A84"/>
    <mergeCell ref="R119:R122"/>
    <mergeCell ref="C128:C130"/>
    <mergeCell ref="A123:I126"/>
    <mergeCell ref="R100:R102"/>
    <mergeCell ref="R106:R108"/>
    <mergeCell ref="G82:G84"/>
    <mergeCell ref="B100:B102"/>
    <mergeCell ref="E103:E105"/>
    <mergeCell ref="G100:G102"/>
    <mergeCell ref="H100:H102"/>
    <mergeCell ref="E100:E102"/>
    <mergeCell ref="H109:H111"/>
    <mergeCell ref="R109:R111"/>
    <mergeCell ref="G112:G114"/>
    <mergeCell ref="H112:H114"/>
    <mergeCell ref="R112:R114"/>
    <mergeCell ref="H106:H108"/>
    <mergeCell ref="F100:F102"/>
    <mergeCell ref="E109:E111"/>
    <mergeCell ref="B112:B114"/>
    <mergeCell ref="C112:C114"/>
    <mergeCell ref="D112:D114"/>
    <mergeCell ref="E112:E114"/>
    <mergeCell ref="R115:R117"/>
    <mergeCell ref="F112:F114"/>
    <mergeCell ref="B106:B108"/>
    <mergeCell ref="H128:H130"/>
    <mergeCell ref="A127:R127"/>
    <mergeCell ref="A128:A130"/>
    <mergeCell ref="B128:B130"/>
    <mergeCell ref="E106:E108"/>
    <mergeCell ref="R103:R105"/>
    <mergeCell ref="F103:F105"/>
    <mergeCell ref="G103:G105"/>
    <mergeCell ref="H103:H105"/>
    <mergeCell ref="G106:G108"/>
    <mergeCell ref="F106:F108"/>
    <mergeCell ref="E119:E122"/>
    <mergeCell ref="F119:F122"/>
    <mergeCell ref="G119:G122"/>
    <mergeCell ref="G128:G130"/>
    <mergeCell ref="H119:H122"/>
    <mergeCell ref="D119:D122"/>
    <mergeCell ref="A112:A114"/>
    <mergeCell ref="A106:A108"/>
    <mergeCell ref="A119:A122"/>
    <mergeCell ref="B119:B122"/>
    <mergeCell ref="R216:R218"/>
    <mergeCell ref="A213:A215"/>
    <mergeCell ref="A209:R209"/>
    <mergeCell ref="G213:G215"/>
    <mergeCell ref="H213:H215"/>
    <mergeCell ref="B216:B218"/>
    <mergeCell ref="R213:R215"/>
    <mergeCell ref="D213:D215"/>
    <mergeCell ref="E213:E215"/>
    <mergeCell ref="A216:A218"/>
    <mergeCell ref="G216:G218"/>
    <mergeCell ref="F216:F218"/>
    <mergeCell ref="H216:H218"/>
    <mergeCell ref="F213:F215"/>
    <mergeCell ref="B213:B215"/>
    <mergeCell ref="C216:C218"/>
    <mergeCell ref="B210:B212"/>
    <mergeCell ref="D216:D218"/>
    <mergeCell ref="R210:R212"/>
    <mergeCell ref="E216:E218"/>
    <mergeCell ref="C213:C215"/>
    <mergeCell ref="D210:D212"/>
    <mergeCell ref="E210:E212"/>
    <mergeCell ref="F210:F212"/>
    <mergeCell ref="R268:R270"/>
    <mergeCell ref="H278:H280"/>
    <mergeCell ref="E278:E280"/>
    <mergeCell ref="A258:A260"/>
    <mergeCell ref="B258:B260"/>
    <mergeCell ref="C258:C260"/>
    <mergeCell ref="D258:D260"/>
    <mergeCell ref="F237:F239"/>
    <mergeCell ref="E252:E254"/>
    <mergeCell ref="R237:R239"/>
    <mergeCell ref="B243:B245"/>
    <mergeCell ref="A249:A251"/>
    <mergeCell ref="B249:B251"/>
    <mergeCell ref="C249:C251"/>
    <mergeCell ref="C243:C245"/>
    <mergeCell ref="E243:E245"/>
    <mergeCell ref="A246:A248"/>
    <mergeCell ref="R271:R273"/>
    <mergeCell ref="R249:R251"/>
    <mergeCell ref="F249:F251"/>
    <mergeCell ref="B252:B254"/>
    <mergeCell ref="D243:D245"/>
    <mergeCell ref="R264:R266"/>
    <mergeCell ref="C252:C254"/>
    <mergeCell ref="D252:D254"/>
    <mergeCell ref="F268:F270"/>
    <mergeCell ref="A252:A254"/>
    <mergeCell ref="A261:A263"/>
    <mergeCell ref="B261:B263"/>
    <mergeCell ref="C261:C263"/>
    <mergeCell ref="D261:D263"/>
    <mergeCell ref="A255:A257"/>
    <mergeCell ref="B255:B257"/>
    <mergeCell ref="C255:C257"/>
    <mergeCell ref="D255:D257"/>
    <mergeCell ref="A268:A270"/>
    <mergeCell ref="B268:B270"/>
    <mergeCell ref="C268:C270"/>
    <mergeCell ref="D268:D270"/>
    <mergeCell ref="E261:E263"/>
    <mergeCell ref="F261:F263"/>
    <mergeCell ref="A264:I266"/>
    <mergeCell ref="G261:G263"/>
    <mergeCell ref="H261:H263"/>
    <mergeCell ref="R261:R263"/>
    <mergeCell ref="R255:R257"/>
    <mergeCell ref="G243:G245"/>
    <mergeCell ref="G252:G254"/>
    <mergeCell ref="H252:H254"/>
    <mergeCell ref="R252:R254"/>
    <mergeCell ref="E258:E260"/>
    <mergeCell ref="F258:F260"/>
    <mergeCell ref="G258:G260"/>
    <mergeCell ref="H258:H260"/>
    <mergeCell ref="R258:R260"/>
    <mergeCell ref="F252:F254"/>
    <mergeCell ref="E255:E257"/>
    <mergeCell ref="F255:F257"/>
    <mergeCell ref="R243:R245"/>
    <mergeCell ref="G246:G248"/>
    <mergeCell ref="H246:H248"/>
    <mergeCell ref="H243:H245"/>
    <mergeCell ref="E249:E251"/>
    <mergeCell ref="E246:E248"/>
    <mergeCell ref="F243:F245"/>
    <mergeCell ref="G284:G286"/>
    <mergeCell ref="H284:H286"/>
    <mergeCell ref="R284:R286"/>
    <mergeCell ref="F281:F283"/>
    <mergeCell ref="A274:R274"/>
    <mergeCell ref="B278:B280"/>
    <mergeCell ref="H268:H270"/>
    <mergeCell ref="A267:R267"/>
    <mergeCell ref="R281:R283"/>
    <mergeCell ref="A278:A280"/>
    <mergeCell ref="R278:R280"/>
    <mergeCell ref="G281:G283"/>
    <mergeCell ref="H281:H283"/>
    <mergeCell ref="A281:A283"/>
    <mergeCell ref="B281:B283"/>
    <mergeCell ref="E284:E286"/>
    <mergeCell ref="F284:F286"/>
    <mergeCell ref="C278:C280"/>
    <mergeCell ref="D278:D280"/>
    <mergeCell ref="A284:A286"/>
    <mergeCell ref="B284:B286"/>
    <mergeCell ref="C284:C286"/>
    <mergeCell ref="D284:D286"/>
    <mergeCell ref="E268:E270"/>
    <mergeCell ref="R165:R167"/>
    <mergeCell ref="C183:C185"/>
    <mergeCell ref="C174:C176"/>
    <mergeCell ref="F171:F173"/>
    <mergeCell ref="C165:C167"/>
    <mergeCell ref="D165:D167"/>
    <mergeCell ref="E165:E167"/>
    <mergeCell ref="B174:B176"/>
    <mergeCell ref="G168:G170"/>
    <mergeCell ref="C168:C170"/>
    <mergeCell ref="D168:D170"/>
    <mergeCell ref="E168:E170"/>
    <mergeCell ref="F168:F170"/>
    <mergeCell ref="B183:B185"/>
    <mergeCell ref="R183:R185"/>
    <mergeCell ref="B177:B179"/>
    <mergeCell ref="H183:H185"/>
    <mergeCell ref="G180:G182"/>
    <mergeCell ref="F180:F182"/>
    <mergeCell ref="B302:B304"/>
    <mergeCell ref="C302:C304"/>
    <mergeCell ref="D302:D304"/>
    <mergeCell ref="E302:E304"/>
    <mergeCell ref="F302:F304"/>
    <mergeCell ref="G302:G304"/>
    <mergeCell ref="H302:H304"/>
    <mergeCell ref="G255:G257"/>
    <mergeCell ref="H255:H257"/>
    <mergeCell ref="B293:B295"/>
    <mergeCell ref="C293:C295"/>
    <mergeCell ref="D293:D295"/>
    <mergeCell ref="E293:E295"/>
    <mergeCell ref="F293:F295"/>
    <mergeCell ref="G293:G295"/>
    <mergeCell ref="H293:H295"/>
    <mergeCell ref="C281:C283"/>
    <mergeCell ref="D281:D283"/>
    <mergeCell ref="E281:E283"/>
    <mergeCell ref="F278:F280"/>
    <mergeCell ref="G278:G280"/>
    <mergeCell ref="G268:G270"/>
    <mergeCell ref="A271:I273"/>
    <mergeCell ref="A299:A301"/>
    <mergeCell ref="A293:A295"/>
    <mergeCell ref="B299:B301"/>
    <mergeCell ref="C299:C301"/>
    <mergeCell ref="D299:D301"/>
    <mergeCell ref="E299:E301"/>
    <mergeCell ref="F299:F301"/>
    <mergeCell ref="G296:G298"/>
    <mergeCell ref="H296:H298"/>
    <mergeCell ref="A287:A289"/>
    <mergeCell ref="A290:A292"/>
    <mergeCell ref="F290:F292"/>
    <mergeCell ref="B290:B292"/>
    <mergeCell ref="C290:C292"/>
    <mergeCell ref="R296:R298"/>
    <mergeCell ref="B287:B289"/>
    <mergeCell ref="C287:C289"/>
    <mergeCell ref="D287:D289"/>
    <mergeCell ref="E287:E289"/>
    <mergeCell ref="F287:F289"/>
    <mergeCell ref="G287:G289"/>
    <mergeCell ref="H287:H289"/>
    <mergeCell ref="R293:R295"/>
    <mergeCell ref="R287:R289"/>
    <mergeCell ref="R290:R292"/>
    <mergeCell ref="H290:H292"/>
    <mergeCell ref="G290:G292"/>
    <mergeCell ref="A305:I307"/>
    <mergeCell ref="R305:R307"/>
    <mergeCell ref="A275:A277"/>
    <mergeCell ref="B275:B277"/>
    <mergeCell ref="C275:C277"/>
    <mergeCell ref="D275:D277"/>
    <mergeCell ref="E275:E277"/>
    <mergeCell ref="F275:F277"/>
    <mergeCell ref="G275:G277"/>
    <mergeCell ref="H275:H277"/>
    <mergeCell ref="R275:R277"/>
    <mergeCell ref="A296:A298"/>
    <mergeCell ref="B296:B298"/>
    <mergeCell ref="C296:C298"/>
    <mergeCell ref="D296:D298"/>
    <mergeCell ref="E296:E298"/>
    <mergeCell ref="F296:F298"/>
    <mergeCell ref="D290:D292"/>
    <mergeCell ref="E290:E292"/>
    <mergeCell ref="A302:A304"/>
    <mergeCell ref="R302:R304"/>
    <mergeCell ref="G299:G301"/>
    <mergeCell ref="H299:H301"/>
    <mergeCell ref="R299:R301"/>
    <mergeCell ref="S54:S56"/>
    <mergeCell ref="F51:F53"/>
    <mergeCell ref="G51:G53"/>
    <mergeCell ref="H51:H53"/>
    <mergeCell ref="R51:R53"/>
    <mergeCell ref="A48:A50"/>
    <mergeCell ref="B48:B50"/>
    <mergeCell ref="C48:C50"/>
    <mergeCell ref="D48:D50"/>
    <mergeCell ref="E48:E50"/>
    <mergeCell ref="F48:F50"/>
    <mergeCell ref="G48:G50"/>
    <mergeCell ref="H48:H50"/>
    <mergeCell ref="A51:A53"/>
    <mergeCell ref="A54:A56"/>
    <mergeCell ref="B54:B56"/>
    <mergeCell ref="C54:C56"/>
    <mergeCell ref="D54:D56"/>
    <mergeCell ref="F54:F56"/>
    <mergeCell ref="G54:G56"/>
    <mergeCell ref="H54:H56"/>
    <mergeCell ref="R54:R56"/>
    <mergeCell ref="A193:I195"/>
    <mergeCell ref="R193:R195"/>
    <mergeCell ref="A196:R196"/>
    <mergeCell ref="A197:A199"/>
    <mergeCell ref="B197:B199"/>
    <mergeCell ref="C197:C199"/>
    <mergeCell ref="D197:D199"/>
    <mergeCell ref="E197:E199"/>
    <mergeCell ref="F197:F199"/>
    <mergeCell ref="G197:G199"/>
    <mergeCell ref="H197:H199"/>
    <mergeCell ref="R197:R199"/>
    <mergeCell ref="E190:E192"/>
    <mergeCell ref="F190:F192"/>
    <mergeCell ref="G190:G192"/>
    <mergeCell ref="H190:H192"/>
    <mergeCell ref="R206:R208"/>
    <mergeCell ref="A200:A202"/>
    <mergeCell ref="B200:B202"/>
    <mergeCell ref="C200:C202"/>
    <mergeCell ref="D200:D202"/>
    <mergeCell ref="E200:E202"/>
    <mergeCell ref="F200:F202"/>
    <mergeCell ref="G200:G202"/>
    <mergeCell ref="H200:H202"/>
    <mergeCell ref="R200:R202"/>
    <mergeCell ref="A203:A205"/>
    <mergeCell ref="B203:B205"/>
    <mergeCell ref="C203:C205"/>
    <mergeCell ref="D203:D205"/>
    <mergeCell ref="E203:E205"/>
    <mergeCell ref="F203:F205"/>
    <mergeCell ref="G203:G205"/>
    <mergeCell ref="H203:H205"/>
    <mergeCell ref="R203:R205"/>
    <mergeCell ref="A206:I208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11" manualBreakCount="11">
    <brk id="29" max="17" man="1"/>
    <brk id="56" max="17" man="1"/>
    <brk id="84" max="17" man="1"/>
    <brk id="108" max="17" man="1"/>
    <brk id="138" max="17" man="1"/>
    <brk id="167" max="17" man="1"/>
    <brk id="195" max="17" man="1"/>
    <brk id="224" max="17" man="1"/>
    <brk id="248" max="17" man="1"/>
    <brk id="273" max="17" man="1"/>
    <brk id="301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163"/>
  <sheetViews>
    <sheetView view="pageBreakPreview" zoomScale="70" zoomScaleNormal="70" zoomScaleSheetLayoutView="70" zoomScalePageLayoutView="60" workbookViewId="0">
      <pane ySplit="9" topLeftCell="A112" activePane="bottomLeft" state="frozen"/>
      <selection pane="bottomLeft" activeCell="I88" sqref="I88"/>
    </sheetView>
  </sheetViews>
  <sheetFormatPr defaultColWidth="8.85546875" defaultRowHeight="17.25" x14ac:dyDescent="0.3"/>
  <cols>
    <col min="1" max="1" width="14.140625" style="63" customWidth="1"/>
    <col min="2" max="2" width="43" style="12" customWidth="1"/>
    <col min="3" max="3" width="18" style="12" customWidth="1"/>
    <col min="4" max="4" width="37.5703125" style="12" customWidth="1"/>
    <col min="5" max="5" width="18.28515625" style="12" customWidth="1"/>
    <col min="6" max="6" width="18.140625" style="12" customWidth="1"/>
    <col min="7" max="7" width="18.42578125" style="12" customWidth="1"/>
    <col min="8" max="8" width="18.140625" style="12" customWidth="1"/>
    <col min="9" max="9" width="19.5703125" style="12" customWidth="1"/>
    <col min="10" max="10" width="19.42578125" style="12" customWidth="1"/>
    <col min="11" max="11" width="34" style="12" customWidth="1"/>
    <col min="12" max="12" width="17.5703125" style="12" bestFit="1" customWidth="1"/>
    <col min="13" max="13" width="11.42578125" style="12" bestFit="1" customWidth="1"/>
    <col min="14" max="14" width="16.140625" style="12" bestFit="1" customWidth="1"/>
    <col min="15" max="16" width="8.85546875" style="12"/>
    <col min="17" max="17" width="12.140625" style="12" bestFit="1" customWidth="1"/>
    <col min="18" max="16384" width="8.85546875" style="12"/>
  </cols>
  <sheetData>
    <row r="1" spans="1:14" ht="21.75" customHeight="1" x14ac:dyDescent="0.3">
      <c r="A1" s="31"/>
      <c r="B1" s="31"/>
      <c r="C1" s="31"/>
      <c r="D1" s="19"/>
      <c r="E1" s="19"/>
      <c r="F1" s="19"/>
      <c r="G1" s="19"/>
      <c r="K1" s="33" t="s">
        <v>582</v>
      </c>
    </row>
    <row r="2" spans="1:14" ht="50.25" customHeight="1" x14ac:dyDescent="0.3">
      <c r="A2" s="31"/>
      <c r="B2" s="31"/>
      <c r="C2" s="31"/>
      <c r="D2" s="19"/>
      <c r="E2" s="163"/>
      <c r="F2" s="163"/>
      <c r="G2" s="19"/>
      <c r="J2" s="202" t="s">
        <v>555</v>
      </c>
      <c r="K2" s="202"/>
    </row>
    <row r="3" spans="1:14" ht="57" customHeight="1" x14ac:dyDescent="0.3">
      <c r="A3" s="261" t="s">
        <v>159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</row>
    <row r="4" spans="1:14" ht="15" customHeight="1" x14ac:dyDescent="0.3">
      <c r="A4" s="119"/>
      <c r="B4" s="120"/>
      <c r="C4" s="120"/>
      <c r="D4" s="120"/>
      <c r="E4" s="120"/>
      <c r="F4" s="120"/>
      <c r="G4" s="120"/>
    </row>
    <row r="5" spans="1:14" ht="53.25" customHeight="1" x14ac:dyDescent="0.3">
      <c r="A5" s="262" t="s">
        <v>158</v>
      </c>
      <c r="B5" s="262"/>
      <c r="C5" s="262"/>
      <c r="D5" s="262"/>
      <c r="E5" s="262"/>
      <c r="F5" s="262"/>
      <c r="G5" s="262"/>
      <c r="H5" s="262"/>
      <c r="I5" s="262"/>
      <c r="J5" s="262"/>
      <c r="K5" s="262"/>
    </row>
    <row r="6" spans="1:14" ht="15" customHeight="1" x14ac:dyDescent="0.3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</row>
    <row r="7" spans="1:14" ht="33" customHeight="1" x14ac:dyDescent="0.3">
      <c r="A7" s="167" t="s">
        <v>0</v>
      </c>
      <c r="B7" s="131" t="s">
        <v>56</v>
      </c>
      <c r="C7" s="131" t="s">
        <v>1</v>
      </c>
      <c r="D7" s="131" t="s">
        <v>2</v>
      </c>
      <c r="E7" s="131" t="s">
        <v>3</v>
      </c>
      <c r="F7" s="167" t="s">
        <v>4</v>
      </c>
      <c r="G7" s="167"/>
      <c r="H7" s="167"/>
      <c r="I7" s="167"/>
      <c r="J7" s="167"/>
      <c r="K7" s="131" t="s">
        <v>5</v>
      </c>
    </row>
    <row r="8" spans="1:14" ht="33" customHeight="1" x14ac:dyDescent="0.3">
      <c r="A8" s="167"/>
      <c r="B8" s="131"/>
      <c r="C8" s="131"/>
      <c r="D8" s="131"/>
      <c r="E8" s="131"/>
      <c r="F8" s="35">
        <v>2023</v>
      </c>
      <c r="G8" s="13">
        <v>2024</v>
      </c>
      <c r="H8" s="13">
        <v>2025</v>
      </c>
      <c r="I8" s="13">
        <v>2026</v>
      </c>
      <c r="J8" s="13">
        <v>2027</v>
      </c>
      <c r="K8" s="131"/>
    </row>
    <row r="9" spans="1:14" ht="24.75" customHeight="1" x14ac:dyDescent="0.3">
      <c r="A9" s="13">
        <v>1</v>
      </c>
      <c r="B9" s="13">
        <v>2</v>
      </c>
      <c r="C9" s="13">
        <v>3</v>
      </c>
      <c r="D9" s="13">
        <v>4</v>
      </c>
      <c r="E9" s="13">
        <v>5</v>
      </c>
      <c r="F9" s="35">
        <v>6</v>
      </c>
      <c r="G9" s="13">
        <v>7</v>
      </c>
      <c r="H9" s="13">
        <v>8</v>
      </c>
      <c r="I9" s="13">
        <v>9</v>
      </c>
      <c r="J9" s="13">
        <v>10</v>
      </c>
      <c r="K9" s="13">
        <v>11</v>
      </c>
    </row>
    <row r="10" spans="1:14" ht="24.75" customHeight="1" x14ac:dyDescent="0.3">
      <c r="A10" s="203" t="s">
        <v>557</v>
      </c>
      <c r="B10" s="204"/>
      <c r="C10" s="204"/>
      <c r="D10" s="204"/>
      <c r="E10" s="204"/>
      <c r="F10" s="204"/>
      <c r="G10" s="204"/>
      <c r="H10" s="204"/>
      <c r="I10" s="204"/>
      <c r="J10" s="204"/>
      <c r="K10" s="263"/>
    </row>
    <row r="11" spans="1:14" ht="32.25" customHeight="1" x14ac:dyDescent="0.3">
      <c r="A11" s="203" t="s">
        <v>558</v>
      </c>
      <c r="B11" s="204"/>
      <c r="C11" s="204"/>
      <c r="D11" s="204"/>
      <c r="E11" s="204"/>
      <c r="F11" s="204"/>
      <c r="G11" s="204"/>
      <c r="H11" s="204"/>
      <c r="I11" s="204"/>
      <c r="J11" s="204"/>
      <c r="K11" s="263"/>
    </row>
    <row r="12" spans="1:14" s="19" customFormat="1" ht="36" customHeight="1" x14ac:dyDescent="0.25">
      <c r="A12" s="161"/>
      <c r="B12" s="173" t="s">
        <v>157</v>
      </c>
      <c r="C12" s="161" t="s">
        <v>67</v>
      </c>
      <c r="D12" s="38" t="s">
        <v>14</v>
      </c>
      <c r="E12" s="21">
        <f>E15+E17</f>
        <v>231200</v>
      </c>
      <c r="F12" s="21">
        <f t="shared" ref="F12:J12" si="0">F15</f>
        <v>0</v>
      </c>
      <c r="G12" s="21">
        <f t="shared" si="0"/>
        <v>0</v>
      </c>
      <c r="H12" s="21">
        <f t="shared" si="0"/>
        <v>19200</v>
      </c>
      <c r="I12" s="21">
        <f>I13+I14</f>
        <v>212000</v>
      </c>
      <c r="J12" s="21">
        <f t="shared" si="0"/>
        <v>0</v>
      </c>
      <c r="K12" s="153" t="s">
        <v>17</v>
      </c>
    </row>
    <row r="13" spans="1:14" s="19" customFormat="1" ht="36" customHeight="1" x14ac:dyDescent="0.25">
      <c r="A13" s="161"/>
      <c r="B13" s="173"/>
      <c r="C13" s="161"/>
      <c r="D13" s="38" t="s">
        <v>10</v>
      </c>
      <c r="E13" s="21">
        <f>E18</f>
        <v>131864</v>
      </c>
      <c r="F13" s="21">
        <f>F18</f>
        <v>0</v>
      </c>
      <c r="G13" s="21">
        <f t="shared" ref="G13:J14" si="1">G18</f>
        <v>0</v>
      </c>
      <c r="H13" s="21">
        <f t="shared" si="1"/>
        <v>0</v>
      </c>
      <c r="I13" s="21">
        <f t="shared" si="1"/>
        <v>131864</v>
      </c>
      <c r="J13" s="21">
        <f t="shared" si="1"/>
        <v>0</v>
      </c>
      <c r="K13" s="154"/>
    </row>
    <row r="14" spans="1:14" s="19" customFormat="1" ht="36" customHeight="1" x14ac:dyDescent="0.25">
      <c r="A14" s="161"/>
      <c r="B14" s="173"/>
      <c r="C14" s="161"/>
      <c r="D14" s="38" t="s">
        <v>18</v>
      </c>
      <c r="E14" s="21">
        <f>E16+E19</f>
        <v>99336</v>
      </c>
      <c r="F14" s="21">
        <f t="shared" ref="F14:J14" si="2">F16</f>
        <v>0</v>
      </c>
      <c r="G14" s="21">
        <f t="shared" si="2"/>
        <v>0</v>
      </c>
      <c r="H14" s="21">
        <f t="shared" si="2"/>
        <v>19200</v>
      </c>
      <c r="I14" s="21">
        <f t="shared" si="1"/>
        <v>80136</v>
      </c>
      <c r="J14" s="21">
        <f t="shared" si="2"/>
        <v>0</v>
      </c>
      <c r="K14" s="154"/>
    </row>
    <row r="15" spans="1:14" s="19" customFormat="1" ht="36" customHeight="1" x14ac:dyDescent="0.25">
      <c r="A15" s="146">
        <v>1</v>
      </c>
      <c r="B15" s="128" t="s">
        <v>559</v>
      </c>
      <c r="C15" s="146" t="s">
        <v>67</v>
      </c>
      <c r="D15" s="38" t="s">
        <v>14</v>
      </c>
      <c r="E15" s="21">
        <f>E16</f>
        <v>19200</v>
      </c>
      <c r="F15" s="21">
        <f t="shared" ref="F15:J15" si="3">F16</f>
        <v>0</v>
      </c>
      <c r="G15" s="21">
        <f t="shared" si="3"/>
        <v>0</v>
      </c>
      <c r="H15" s="21">
        <f t="shared" si="3"/>
        <v>19200</v>
      </c>
      <c r="I15" s="21">
        <f t="shared" si="3"/>
        <v>0</v>
      </c>
      <c r="J15" s="21">
        <f t="shared" si="3"/>
        <v>0</v>
      </c>
      <c r="K15" s="154"/>
    </row>
    <row r="16" spans="1:14" s="19" customFormat="1" ht="38.25" customHeight="1" x14ac:dyDescent="0.25">
      <c r="A16" s="148"/>
      <c r="B16" s="130"/>
      <c r="C16" s="148"/>
      <c r="D16" s="38" t="s">
        <v>18</v>
      </c>
      <c r="E16" s="21">
        <f>F16+G16+H16+I16+J16</f>
        <v>19200</v>
      </c>
      <c r="F16" s="21">
        <v>0</v>
      </c>
      <c r="G16" s="21">
        <v>0</v>
      </c>
      <c r="H16" s="21">
        <v>19200</v>
      </c>
      <c r="I16" s="21">
        <v>0</v>
      </c>
      <c r="J16" s="21">
        <v>0</v>
      </c>
      <c r="K16" s="155"/>
      <c r="L16" s="121"/>
      <c r="N16" s="122"/>
    </row>
    <row r="17" spans="1:14" s="19" customFormat="1" ht="26.25" customHeight="1" x14ac:dyDescent="0.25">
      <c r="A17" s="146">
        <v>2</v>
      </c>
      <c r="B17" s="128" t="s">
        <v>580</v>
      </c>
      <c r="C17" s="153" t="s">
        <v>601</v>
      </c>
      <c r="D17" s="38" t="s">
        <v>14</v>
      </c>
      <c r="E17" s="21">
        <f>E19+E18</f>
        <v>212000</v>
      </c>
      <c r="F17" s="21">
        <f>F19</f>
        <v>0</v>
      </c>
      <c r="G17" s="21">
        <f>G19</f>
        <v>0</v>
      </c>
      <c r="H17" s="21">
        <f>H19</f>
        <v>0</v>
      </c>
      <c r="I17" s="21">
        <f>I18+I19</f>
        <v>212000</v>
      </c>
      <c r="J17" s="21">
        <f>J19</f>
        <v>0</v>
      </c>
      <c r="K17" s="153" t="s">
        <v>17</v>
      </c>
    </row>
    <row r="18" spans="1:14" s="19" customFormat="1" ht="36" customHeight="1" x14ac:dyDescent="0.25">
      <c r="A18" s="147"/>
      <c r="B18" s="129"/>
      <c r="C18" s="154"/>
      <c r="D18" s="38" t="s">
        <v>10</v>
      </c>
      <c r="E18" s="21">
        <f>I18</f>
        <v>131864</v>
      </c>
      <c r="F18" s="21">
        <v>0</v>
      </c>
      <c r="G18" s="21">
        <v>0</v>
      </c>
      <c r="H18" s="21">
        <v>0</v>
      </c>
      <c r="I18" s="21">
        <v>131864</v>
      </c>
      <c r="J18" s="21">
        <v>0</v>
      </c>
      <c r="K18" s="154"/>
    </row>
    <row r="19" spans="1:14" s="19" customFormat="1" ht="38.25" customHeight="1" x14ac:dyDescent="0.25">
      <c r="A19" s="148"/>
      <c r="B19" s="130"/>
      <c r="C19" s="155"/>
      <c r="D19" s="38" t="s">
        <v>18</v>
      </c>
      <c r="E19" s="21">
        <f>F19+G19+H19+I19+J19</f>
        <v>80136</v>
      </c>
      <c r="F19" s="21">
        <v>0</v>
      </c>
      <c r="G19" s="21">
        <v>0</v>
      </c>
      <c r="H19" s="21">
        <v>0</v>
      </c>
      <c r="I19" s="21">
        <v>80136</v>
      </c>
      <c r="J19" s="21">
        <v>0</v>
      </c>
      <c r="K19" s="155"/>
      <c r="L19" s="121"/>
      <c r="N19" s="122"/>
    </row>
    <row r="20" spans="1:14" ht="24.75" customHeight="1" x14ac:dyDescent="0.3">
      <c r="A20" s="203" t="s">
        <v>133</v>
      </c>
      <c r="B20" s="204"/>
      <c r="C20" s="204"/>
      <c r="D20" s="204"/>
      <c r="E20" s="204"/>
      <c r="F20" s="204"/>
      <c r="G20" s="204"/>
      <c r="H20" s="204"/>
      <c r="I20" s="204"/>
      <c r="J20" s="204"/>
      <c r="K20" s="263"/>
    </row>
    <row r="21" spans="1:14" ht="32.25" customHeight="1" x14ac:dyDescent="0.3">
      <c r="A21" s="203" t="s">
        <v>363</v>
      </c>
      <c r="B21" s="204"/>
      <c r="C21" s="204"/>
      <c r="D21" s="204"/>
      <c r="E21" s="204"/>
      <c r="F21" s="204"/>
      <c r="G21" s="204"/>
      <c r="H21" s="204"/>
      <c r="I21" s="204"/>
      <c r="J21" s="204"/>
      <c r="K21" s="263"/>
    </row>
    <row r="22" spans="1:14" s="19" customFormat="1" ht="36" customHeight="1" x14ac:dyDescent="0.25">
      <c r="A22" s="161"/>
      <c r="B22" s="173" t="s">
        <v>157</v>
      </c>
      <c r="C22" s="161" t="s">
        <v>67</v>
      </c>
      <c r="D22" s="38" t="s">
        <v>14</v>
      </c>
      <c r="E22" s="21">
        <f>E23+E24</f>
        <v>13096.5</v>
      </c>
      <c r="F22" s="21">
        <f t="shared" ref="F22:J22" si="4">F23+F24</f>
        <v>0</v>
      </c>
      <c r="G22" s="21">
        <f t="shared" si="4"/>
        <v>13096.5</v>
      </c>
      <c r="H22" s="21">
        <f t="shared" si="4"/>
        <v>0</v>
      </c>
      <c r="I22" s="21">
        <f t="shared" si="4"/>
        <v>0</v>
      </c>
      <c r="J22" s="21">
        <f t="shared" si="4"/>
        <v>0</v>
      </c>
      <c r="K22" s="127"/>
    </row>
    <row r="23" spans="1:14" s="19" customFormat="1" ht="36" customHeight="1" x14ac:dyDescent="0.25">
      <c r="A23" s="161"/>
      <c r="B23" s="173"/>
      <c r="C23" s="161"/>
      <c r="D23" s="38" t="s">
        <v>10</v>
      </c>
      <c r="E23" s="21">
        <f>E26</f>
        <v>8172.22</v>
      </c>
      <c r="F23" s="21">
        <f t="shared" ref="F23:J23" si="5">F26</f>
        <v>0</v>
      </c>
      <c r="G23" s="21">
        <f t="shared" si="5"/>
        <v>8172.22</v>
      </c>
      <c r="H23" s="21">
        <f t="shared" si="5"/>
        <v>0</v>
      </c>
      <c r="I23" s="21">
        <f t="shared" si="5"/>
        <v>0</v>
      </c>
      <c r="J23" s="21">
        <f t="shared" si="5"/>
        <v>0</v>
      </c>
      <c r="K23" s="127"/>
    </row>
    <row r="24" spans="1:14" s="19" customFormat="1" ht="36" customHeight="1" x14ac:dyDescent="0.25">
      <c r="A24" s="161"/>
      <c r="B24" s="173"/>
      <c r="C24" s="161"/>
      <c r="D24" s="38" t="s">
        <v>18</v>
      </c>
      <c r="E24" s="21">
        <f>E27</f>
        <v>4924.28</v>
      </c>
      <c r="F24" s="21">
        <f t="shared" ref="F24:J24" si="6">F27</f>
        <v>0</v>
      </c>
      <c r="G24" s="21">
        <f t="shared" si="6"/>
        <v>4924.28</v>
      </c>
      <c r="H24" s="21">
        <f t="shared" si="6"/>
        <v>0</v>
      </c>
      <c r="I24" s="21">
        <f t="shared" si="6"/>
        <v>0</v>
      </c>
      <c r="J24" s="21">
        <f t="shared" si="6"/>
        <v>0</v>
      </c>
      <c r="K24" s="127"/>
    </row>
    <row r="25" spans="1:14" s="19" customFormat="1" ht="33.75" customHeight="1" x14ac:dyDescent="0.25">
      <c r="A25" s="161">
        <v>1</v>
      </c>
      <c r="B25" s="137" t="s">
        <v>420</v>
      </c>
      <c r="C25" s="161" t="s">
        <v>67</v>
      </c>
      <c r="D25" s="38" t="s">
        <v>14</v>
      </c>
      <c r="E25" s="21">
        <f>F25+G25+H25+I25+J25</f>
        <v>13096.5</v>
      </c>
      <c r="F25" s="21">
        <f>F26+F27</f>
        <v>0</v>
      </c>
      <c r="G25" s="21">
        <f>G26+G27</f>
        <v>13096.5</v>
      </c>
      <c r="H25" s="21">
        <f t="shared" ref="H25:J25" si="7">H26+H27</f>
        <v>0</v>
      </c>
      <c r="I25" s="21">
        <f t="shared" si="7"/>
        <v>0</v>
      </c>
      <c r="J25" s="21">
        <f t="shared" si="7"/>
        <v>0</v>
      </c>
      <c r="K25" s="127" t="s">
        <v>17</v>
      </c>
    </row>
    <row r="26" spans="1:14" s="19" customFormat="1" ht="36" customHeight="1" x14ac:dyDescent="0.25">
      <c r="A26" s="161"/>
      <c r="B26" s="137"/>
      <c r="C26" s="161"/>
      <c r="D26" s="38" t="s">
        <v>10</v>
      </c>
      <c r="E26" s="21">
        <f>F26+G26+H26+I26+J26</f>
        <v>8172.22</v>
      </c>
      <c r="F26" s="21">
        <v>0</v>
      </c>
      <c r="G26" s="21">
        <v>8172.22</v>
      </c>
      <c r="H26" s="21">
        <v>0</v>
      </c>
      <c r="I26" s="21">
        <v>0</v>
      </c>
      <c r="J26" s="21">
        <v>0</v>
      </c>
      <c r="K26" s="127"/>
      <c r="L26" s="121"/>
      <c r="N26" s="122"/>
    </row>
    <row r="27" spans="1:14" s="19" customFormat="1" ht="36" customHeight="1" x14ac:dyDescent="0.25">
      <c r="A27" s="161"/>
      <c r="B27" s="137"/>
      <c r="C27" s="161"/>
      <c r="D27" s="38" t="s">
        <v>18</v>
      </c>
      <c r="E27" s="21">
        <f>F27+G27+H27+I27+J27</f>
        <v>4924.28</v>
      </c>
      <c r="F27" s="21">
        <v>0</v>
      </c>
      <c r="G27" s="21">
        <v>4924.28</v>
      </c>
      <c r="H27" s="21">
        <v>0</v>
      </c>
      <c r="I27" s="21">
        <v>0</v>
      </c>
      <c r="J27" s="21">
        <v>0</v>
      </c>
      <c r="K27" s="127"/>
      <c r="L27" s="121"/>
      <c r="N27" s="122"/>
    </row>
    <row r="28" spans="1:14" ht="25.5" customHeight="1" x14ac:dyDescent="0.3">
      <c r="A28" s="138" t="s">
        <v>487</v>
      </c>
      <c r="B28" s="138"/>
      <c r="C28" s="138"/>
      <c r="D28" s="138"/>
      <c r="E28" s="138"/>
      <c r="F28" s="138"/>
      <c r="G28" s="138"/>
      <c r="H28" s="138"/>
      <c r="I28" s="138"/>
      <c r="J28" s="138"/>
      <c r="K28" s="138"/>
    </row>
    <row r="29" spans="1:14" s="19" customFormat="1" ht="36" customHeight="1" x14ac:dyDescent="0.25">
      <c r="A29" s="161"/>
      <c r="B29" s="173" t="s">
        <v>157</v>
      </c>
      <c r="C29" s="161" t="s">
        <v>67</v>
      </c>
      <c r="D29" s="38" t="s">
        <v>14</v>
      </c>
      <c r="E29" s="21">
        <f>E30+E31</f>
        <v>52559.31</v>
      </c>
      <c r="F29" s="21">
        <f t="shared" ref="F29:J29" si="8">F30+F31</f>
        <v>0</v>
      </c>
      <c r="G29" s="21">
        <f>G30+G31</f>
        <v>21332.68</v>
      </c>
      <c r="H29" s="21">
        <f>H30+H31</f>
        <v>20958.239999999998</v>
      </c>
      <c r="I29" s="21">
        <f>I30+I31</f>
        <v>10268.390000000001</v>
      </c>
      <c r="J29" s="21">
        <f t="shared" si="8"/>
        <v>0</v>
      </c>
      <c r="K29" s="127"/>
    </row>
    <row r="30" spans="1:14" s="19" customFormat="1" ht="36" customHeight="1" x14ac:dyDescent="0.25">
      <c r="A30" s="161"/>
      <c r="B30" s="173"/>
      <c r="C30" s="161"/>
      <c r="D30" s="38" t="s">
        <v>10</v>
      </c>
      <c r="E30" s="21">
        <f>E42+E33+E36+E39</f>
        <v>28786.43</v>
      </c>
      <c r="F30" s="21">
        <f t="shared" ref="F30:J31" si="9">F42</f>
        <v>0</v>
      </c>
      <c r="G30" s="21">
        <f t="shared" ref="G30:I31" si="10">G42+G33+G36+G39</f>
        <v>13311.579999999998</v>
      </c>
      <c r="H30" s="21">
        <f t="shared" si="10"/>
        <v>10366.23</v>
      </c>
      <c r="I30" s="21">
        <f t="shared" si="10"/>
        <v>5108.6200000000008</v>
      </c>
      <c r="J30" s="21">
        <f t="shared" si="9"/>
        <v>0</v>
      </c>
      <c r="K30" s="127"/>
    </row>
    <row r="31" spans="1:14" s="19" customFormat="1" ht="36" customHeight="1" x14ac:dyDescent="0.25">
      <c r="A31" s="161"/>
      <c r="B31" s="173"/>
      <c r="C31" s="161"/>
      <c r="D31" s="38" t="s">
        <v>18</v>
      </c>
      <c r="E31" s="21">
        <f>E43+E34+E37+E40</f>
        <v>23772.880000000001</v>
      </c>
      <c r="F31" s="21">
        <f t="shared" si="9"/>
        <v>0</v>
      </c>
      <c r="G31" s="21">
        <f t="shared" si="10"/>
        <v>8021.1</v>
      </c>
      <c r="H31" s="21">
        <f t="shared" si="10"/>
        <v>10592.01</v>
      </c>
      <c r="I31" s="21">
        <f t="shared" si="10"/>
        <v>5159.7700000000004</v>
      </c>
      <c r="J31" s="21">
        <f t="shared" si="9"/>
        <v>0</v>
      </c>
      <c r="K31" s="127"/>
    </row>
    <row r="32" spans="1:14" s="19" customFormat="1" ht="36" customHeight="1" x14ac:dyDescent="0.25">
      <c r="A32" s="161">
        <v>1</v>
      </c>
      <c r="B32" s="137" t="s">
        <v>488</v>
      </c>
      <c r="C32" s="161" t="s">
        <v>67</v>
      </c>
      <c r="D32" s="38" t="s">
        <v>14</v>
      </c>
      <c r="E32" s="21">
        <f t="shared" ref="E32:E43" si="11">F32+G32+H32+I32+J32</f>
        <v>4490.1899999999996</v>
      </c>
      <c r="F32" s="21">
        <f>F33+F34</f>
        <v>0</v>
      </c>
      <c r="G32" s="21">
        <f>G33+G34</f>
        <v>1282.9099999999999</v>
      </c>
      <c r="H32" s="21">
        <f t="shared" ref="H32:J32" si="12">H33+H34</f>
        <v>0</v>
      </c>
      <c r="I32" s="21">
        <f>I33+I34</f>
        <v>3207.2799999999997</v>
      </c>
      <c r="J32" s="21">
        <f t="shared" si="12"/>
        <v>0</v>
      </c>
      <c r="K32" s="127" t="s">
        <v>17</v>
      </c>
      <c r="M32" s="20"/>
    </row>
    <row r="33" spans="1:14" s="19" customFormat="1" ht="36" customHeight="1" x14ac:dyDescent="0.25">
      <c r="A33" s="161"/>
      <c r="B33" s="137"/>
      <c r="C33" s="161"/>
      <c r="D33" s="38" t="s">
        <v>10</v>
      </c>
      <c r="E33" s="21">
        <f t="shared" si="11"/>
        <v>2560.6999999999998</v>
      </c>
      <c r="F33" s="21">
        <v>0</v>
      </c>
      <c r="G33" s="21">
        <v>800.54</v>
      </c>
      <c r="H33" s="21">
        <v>0</v>
      </c>
      <c r="I33" s="21">
        <v>1760.16</v>
      </c>
      <c r="J33" s="21">
        <v>0</v>
      </c>
      <c r="K33" s="127"/>
      <c r="L33" s="121"/>
      <c r="M33" s="20"/>
      <c r="N33" s="122"/>
    </row>
    <row r="34" spans="1:14" s="19" customFormat="1" ht="36" customHeight="1" x14ac:dyDescent="0.25">
      <c r="A34" s="161"/>
      <c r="B34" s="137"/>
      <c r="C34" s="161"/>
      <c r="D34" s="38" t="s">
        <v>18</v>
      </c>
      <c r="E34" s="21">
        <f t="shared" si="11"/>
        <v>1929.4899999999998</v>
      </c>
      <c r="F34" s="21">
        <v>0</v>
      </c>
      <c r="G34" s="21">
        <v>482.37</v>
      </c>
      <c r="H34" s="21">
        <v>0</v>
      </c>
      <c r="I34" s="21">
        <v>1447.12</v>
      </c>
      <c r="J34" s="21">
        <v>0</v>
      </c>
      <c r="K34" s="127"/>
      <c r="L34" s="121"/>
      <c r="M34" s="20"/>
      <c r="N34" s="122"/>
    </row>
    <row r="35" spans="1:14" s="19" customFormat="1" ht="36" customHeight="1" x14ac:dyDescent="0.25">
      <c r="A35" s="161">
        <v>2</v>
      </c>
      <c r="B35" s="137" t="s">
        <v>489</v>
      </c>
      <c r="C35" s="161" t="s">
        <v>67</v>
      </c>
      <c r="D35" s="38" t="s">
        <v>14</v>
      </c>
      <c r="E35" s="21">
        <f t="shared" si="11"/>
        <v>3233.55</v>
      </c>
      <c r="F35" s="21">
        <f>F36+F37</f>
        <v>0</v>
      </c>
      <c r="G35" s="21">
        <f>G36+G37</f>
        <v>122.85000000000001</v>
      </c>
      <c r="H35" s="21">
        <f t="shared" ref="H35:J35" si="13">H36+H37</f>
        <v>3080.4700000000003</v>
      </c>
      <c r="I35" s="21">
        <f t="shared" si="13"/>
        <v>30.23</v>
      </c>
      <c r="J35" s="21">
        <f t="shared" si="13"/>
        <v>0</v>
      </c>
      <c r="K35" s="127" t="s">
        <v>17</v>
      </c>
      <c r="M35" s="20"/>
    </row>
    <row r="36" spans="1:14" s="19" customFormat="1" ht="36" customHeight="1" x14ac:dyDescent="0.25">
      <c r="A36" s="161"/>
      <c r="B36" s="137"/>
      <c r="C36" s="161"/>
      <c r="D36" s="38" t="s">
        <v>10</v>
      </c>
      <c r="E36" s="21">
        <f t="shared" si="11"/>
        <v>1994.6200000000001</v>
      </c>
      <c r="F36" s="21">
        <v>0</v>
      </c>
      <c r="G36" s="21">
        <v>76.650000000000006</v>
      </c>
      <c r="H36" s="21">
        <v>1899.33</v>
      </c>
      <c r="I36" s="21">
        <v>18.64</v>
      </c>
      <c r="J36" s="21">
        <v>0</v>
      </c>
      <c r="K36" s="127"/>
      <c r="L36" s="121"/>
      <c r="M36" s="20"/>
      <c r="N36" s="122"/>
    </row>
    <row r="37" spans="1:14" s="19" customFormat="1" ht="36" customHeight="1" x14ac:dyDescent="0.25">
      <c r="A37" s="161"/>
      <c r="B37" s="137"/>
      <c r="C37" s="161"/>
      <c r="D37" s="38" t="s">
        <v>18</v>
      </c>
      <c r="E37" s="21">
        <f t="shared" si="11"/>
        <v>1238.93</v>
      </c>
      <c r="F37" s="21">
        <v>0</v>
      </c>
      <c r="G37" s="21">
        <v>46.2</v>
      </c>
      <c r="H37" s="21">
        <v>1181.1400000000001</v>
      </c>
      <c r="I37" s="21">
        <v>11.59</v>
      </c>
      <c r="J37" s="21">
        <v>0</v>
      </c>
      <c r="K37" s="127"/>
      <c r="L37" s="121"/>
      <c r="M37" s="20"/>
      <c r="N37" s="122"/>
    </row>
    <row r="38" spans="1:14" s="19" customFormat="1" ht="29.25" customHeight="1" x14ac:dyDescent="0.25">
      <c r="A38" s="161">
        <v>3</v>
      </c>
      <c r="B38" s="137" t="s">
        <v>490</v>
      </c>
      <c r="C38" s="161" t="s">
        <v>67</v>
      </c>
      <c r="D38" s="38" t="s">
        <v>14</v>
      </c>
      <c r="E38" s="21">
        <f t="shared" si="11"/>
        <v>32439.22</v>
      </c>
      <c r="F38" s="21">
        <f>F39+F40</f>
        <v>0</v>
      </c>
      <c r="G38" s="21">
        <f>G39+G40</f>
        <v>14417.43</v>
      </c>
      <c r="H38" s="21">
        <f t="shared" ref="H38:J38" si="14">H39+H40</f>
        <v>17877.77</v>
      </c>
      <c r="I38" s="21">
        <f t="shared" si="14"/>
        <v>144.01999999999998</v>
      </c>
      <c r="J38" s="21">
        <f t="shared" si="14"/>
        <v>0</v>
      </c>
      <c r="K38" s="127" t="s">
        <v>17</v>
      </c>
      <c r="M38" s="20"/>
    </row>
    <row r="39" spans="1:14" s="19" customFormat="1" ht="36" customHeight="1" x14ac:dyDescent="0.25">
      <c r="A39" s="161"/>
      <c r="B39" s="137"/>
      <c r="C39" s="161"/>
      <c r="D39" s="38" t="s">
        <v>10</v>
      </c>
      <c r="E39" s="21">
        <f t="shared" si="11"/>
        <v>17531.579999999998</v>
      </c>
      <c r="F39" s="21">
        <v>0</v>
      </c>
      <c r="G39" s="21">
        <v>8996.4699999999993</v>
      </c>
      <c r="H39" s="21">
        <v>8466.9</v>
      </c>
      <c r="I39" s="21">
        <v>68.209999999999994</v>
      </c>
      <c r="J39" s="21">
        <v>0</v>
      </c>
      <c r="K39" s="127"/>
      <c r="L39" s="121"/>
      <c r="M39" s="20"/>
      <c r="N39" s="122"/>
    </row>
    <row r="40" spans="1:14" s="19" customFormat="1" ht="36" customHeight="1" x14ac:dyDescent="0.25">
      <c r="A40" s="161"/>
      <c r="B40" s="137"/>
      <c r="C40" s="161"/>
      <c r="D40" s="38" t="s">
        <v>18</v>
      </c>
      <c r="E40" s="21">
        <f t="shared" si="11"/>
        <v>14907.640000000001</v>
      </c>
      <c r="F40" s="21">
        <v>0</v>
      </c>
      <c r="G40" s="21">
        <v>5420.96</v>
      </c>
      <c r="H40" s="21">
        <v>9410.8700000000008</v>
      </c>
      <c r="I40" s="21">
        <v>75.81</v>
      </c>
      <c r="J40" s="21">
        <v>0</v>
      </c>
      <c r="K40" s="127"/>
      <c r="L40" s="121"/>
      <c r="M40" s="20"/>
      <c r="N40" s="122"/>
    </row>
    <row r="41" spans="1:14" s="19" customFormat="1" ht="31.5" customHeight="1" x14ac:dyDescent="0.25">
      <c r="A41" s="161">
        <v>4</v>
      </c>
      <c r="B41" s="137" t="s">
        <v>491</v>
      </c>
      <c r="C41" s="161" t="s">
        <v>67</v>
      </c>
      <c r="D41" s="38" t="s">
        <v>14</v>
      </c>
      <c r="E41" s="21">
        <f t="shared" si="11"/>
        <v>12396.35</v>
      </c>
      <c r="F41" s="21">
        <f>F42+F43</f>
        <v>0</v>
      </c>
      <c r="G41" s="21">
        <f>G42+G43</f>
        <v>5509.49</v>
      </c>
      <c r="H41" s="21">
        <f t="shared" ref="H41:J41" si="15">H42+H43</f>
        <v>0</v>
      </c>
      <c r="I41" s="21">
        <f t="shared" si="15"/>
        <v>6886.8600000000006</v>
      </c>
      <c r="J41" s="21">
        <f t="shared" si="15"/>
        <v>0</v>
      </c>
      <c r="K41" s="127" t="s">
        <v>17</v>
      </c>
      <c r="M41" s="20"/>
    </row>
    <row r="42" spans="1:14" s="19" customFormat="1" ht="36" customHeight="1" x14ac:dyDescent="0.25">
      <c r="A42" s="161"/>
      <c r="B42" s="137"/>
      <c r="C42" s="161"/>
      <c r="D42" s="38" t="s">
        <v>10</v>
      </c>
      <c r="E42" s="21">
        <f t="shared" si="11"/>
        <v>6699.5300000000007</v>
      </c>
      <c r="F42" s="21">
        <v>0</v>
      </c>
      <c r="G42" s="21">
        <v>3437.92</v>
      </c>
      <c r="H42" s="21">
        <v>0</v>
      </c>
      <c r="I42" s="21">
        <v>3261.61</v>
      </c>
      <c r="J42" s="21">
        <v>0</v>
      </c>
      <c r="K42" s="127"/>
      <c r="L42" s="121"/>
      <c r="M42" s="20"/>
      <c r="N42" s="122"/>
    </row>
    <row r="43" spans="1:14" s="19" customFormat="1" ht="36" customHeight="1" x14ac:dyDescent="0.25">
      <c r="A43" s="161"/>
      <c r="B43" s="137"/>
      <c r="C43" s="161"/>
      <c r="D43" s="38" t="s">
        <v>18</v>
      </c>
      <c r="E43" s="21">
        <f t="shared" si="11"/>
        <v>5696.82</v>
      </c>
      <c r="F43" s="21">
        <v>0</v>
      </c>
      <c r="G43" s="21">
        <v>2071.5700000000002</v>
      </c>
      <c r="H43" s="21">
        <v>0</v>
      </c>
      <c r="I43" s="21">
        <v>3625.25</v>
      </c>
      <c r="J43" s="21">
        <v>0</v>
      </c>
      <c r="K43" s="127"/>
      <c r="L43" s="121"/>
      <c r="M43" s="20"/>
      <c r="N43" s="122"/>
    </row>
    <row r="44" spans="1:14" ht="24.75" customHeight="1" x14ac:dyDescent="0.3">
      <c r="A44" s="203" t="s">
        <v>503</v>
      </c>
      <c r="B44" s="204"/>
      <c r="C44" s="204"/>
      <c r="D44" s="204"/>
      <c r="E44" s="204"/>
      <c r="F44" s="204"/>
      <c r="G44" s="204"/>
      <c r="H44" s="204"/>
      <c r="I44" s="204"/>
      <c r="J44" s="204"/>
      <c r="K44" s="263"/>
    </row>
    <row r="45" spans="1:14" s="19" customFormat="1" ht="36" customHeight="1" x14ac:dyDescent="0.25">
      <c r="A45" s="161"/>
      <c r="B45" s="173" t="s">
        <v>157</v>
      </c>
      <c r="C45" s="161" t="s">
        <v>67</v>
      </c>
      <c r="D45" s="38" t="s">
        <v>14</v>
      </c>
      <c r="E45" s="21">
        <f>E52+E56+E60+E64+E68+E72+E76+E80+E49</f>
        <v>388987.61999999994</v>
      </c>
      <c r="F45" s="21">
        <f>F52+F56+F60+F64+F68+F72+F76+F80+F49</f>
        <v>25500</v>
      </c>
      <c r="G45" s="21">
        <f t="shared" ref="G45:J45" si="16">G52+G56+G60+G64+G68+G72+G76+G80+G49</f>
        <v>108381.82999999999</v>
      </c>
      <c r="H45" s="21">
        <f t="shared" si="16"/>
        <v>214444.1</v>
      </c>
      <c r="I45" s="21">
        <f t="shared" si="16"/>
        <v>25661.69</v>
      </c>
      <c r="J45" s="21">
        <f t="shared" si="16"/>
        <v>15000</v>
      </c>
      <c r="K45" s="127"/>
    </row>
    <row r="46" spans="1:14" s="19" customFormat="1" ht="36" customHeight="1" x14ac:dyDescent="0.25">
      <c r="A46" s="161"/>
      <c r="B46" s="173"/>
      <c r="C46" s="161"/>
      <c r="D46" s="38" t="s">
        <v>10</v>
      </c>
      <c r="E46" s="21">
        <f t="shared" ref="E46:J47" si="17">E53+E57+E61+E65+E69+E73+E77+E81+E50</f>
        <v>176457.00999999995</v>
      </c>
      <c r="F46" s="21">
        <f t="shared" si="17"/>
        <v>15606</v>
      </c>
      <c r="G46" s="21">
        <f t="shared" si="17"/>
        <v>1665.03</v>
      </c>
      <c r="H46" s="21">
        <f t="shared" si="17"/>
        <v>133813.09999999998</v>
      </c>
      <c r="I46" s="21">
        <f t="shared" si="17"/>
        <v>16012.880000000001</v>
      </c>
      <c r="J46" s="21">
        <f t="shared" si="17"/>
        <v>9360</v>
      </c>
      <c r="K46" s="127"/>
    </row>
    <row r="47" spans="1:14" s="19" customFormat="1" ht="36" customHeight="1" x14ac:dyDescent="0.25">
      <c r="A47" s="161"/>
      <c r="B47" s="173"/>
      <c r="C47" s="161"/>
      <c r="D47" s="38" t="s">
        <v>18</v>
      </c>
      <c r="E47" s="21">
        <f t="shared" si="17"/>
        <v>212530.61000000002</v>
      </c>
      <c r="F47" s="21">
        <f t="shared" si="17"/>
        <v>9894</v>
      </c>
      <c r="G47" s="21">
        <f t="shared" si="17"/>
        <v>106716.79999999999</v>
      </c>
      <c r="H47" s="21">
        <f t="shared" si="17"/>
        <v>80631</v>
      </c>
      <c r="I47" s="21">
        <f t="shared" si="17"/>
        <v>9648.81</v>
      </c>
      <c r="J47" s="21">
        <f t="shared" si="17"/>
        <v>5640</v>
      </c>
      <c r="K47" s="127"/>
    </row>
    <row r="48" spans="1:14" s="19" customFormat="1" ht="26.25" customHeight="1" x14ac:dyDescent="0.25">
      <c r="A48" s="161"/>
      <c r="B48" s="173"/>
      <c r="C48" s="161"/>
      <c r="D48" s="38" t="s">
        <v>12</v>
      </c>
      <c r="E48" s="21">
        <f t="shared" ref="E48:J48" si="18">E55+E59+E63+E67+E71+E75+E79+E83</f>
        <v>0</v>
      </c>
      <c r="F48" s="21">
        <f t="shared" si="18"/>
        <v>0</v>
      </c>
      <c r="G48" s="21">
        <f t="shared" si="18"/>
        <v>0</v>
      </c>
      <c r="H48" s="21">
        <f t="shared" si="18"/>
        <v>0</v>
      </c>
      <c r="I48" s="21">
        <f t="shared" si="18"/>
        <v>0</v>
      </c>
      <c r="J48" s="21">
        <f t="shared" si="18"/>
        <v>0</v>
      </c>
      <c r="K48" s="127"/>
    </row>
    <row r="49" spans="1:14" s="19" customFormat="1" ht="36" customHeight="1" x14ac:dyDescent="0.25">
      <c r="A49" s="161">
        <v>1</v>
      </c>
      <c r="B49" s="137" t="s">
        <v>271</v>
      </c>
      <c r="C49" s="161" t="s">
        <v>67</v>
      </c>
      <c r="D49" s="38" t="s">
        <v>14</v>
      </c>
      <c r="E49" s="21">
        <f>F49+G49+H49+I49+J49</f>
        <v>25500</v>
      </c>
      <c r="F49" s="21">
        <f>F50+F51</f>
        <v>25500</v>
      </c>
      <c r="G49" s="21">
        <v>0</v>
      </c>
      <c r="H49" s="21">
        <f t="shared" ref="H49:J49" si="19">H50+H51</f>
        <v>0</v>
      </c>
      <c r="I49" s="21">
        <f t="shared" si="19"/>
        <v>0</v>
      </c>
      <c r="J49" s="21">
        <f t="shared" si="19"/>
        <v>0</v>
      </c>
      <c r="K49" s="127" t="s">
        <v>17</v>
      </c>
    </row>
    <row r="50" spans="1:14" s="19" customFormat="1" ht="36" customHeight="1" x14ac:dyDescent="0.25">
      <c r="A50" s="161"/>
      <c r="B50" s="137"/>
      <c r="C50" s="161"/>
      <c r="D50" s="38" t="s">
        <v>10</v>
      </c>
      <c r="E50" s="21">
        <f>F50+G50+H50+I50+J50</f>
        <v>15606</v>
      </c>
      <c r="F50" s="21">
        <v>15606</v>
      </c>
      <c r="G50" s="21">
        <v>0</v>
      </c>
      <c r="H50" s="21">
        <v>0</v>
      </c>
      <c r="I50" s="21">
        <v>0</v>
      </c>
      <c r="J50" s="21">
        <v>0</v>
      </c>
      <c r="K50" s="127"/>
      <c r="L50" s="121"/>
      <c r="N50" s="122"/>
    </row>
    <row r="51" spans="1:14" s="19" customFormat="1" ht="36" customHeight="1" x14ac:dyDescent="0.25">
      <c r="A51" s="161"/>
      <c r="B51" s="137"/>
      <c r="C51" s="161"/>
      <c r="D51" s="38" t="s">
        <v>18</v>
      </c>
      <c r="E51" s="21">
        <f>F51+G51+H51+I51+J51</f>
        <v>9894</v>
      </c>
      <c r="F51" s="21">
        <f>9894</f>
        <v>9894</v>
      </c>
      <c r="G51" s="21">
        <v>0</v>
      </c>
      <c r="H51" s="21">
        <v>0</v>
      </c>
      <c r="I51" s="21">
        <v>0</v>
      </c>
      <c r="J51" s="21">
        <v>0</v>
      </c>
      <c r="K51" s="127"/>
      <c r="L51" s="121"/>
      <c r="N51" s="122"/>
    </row>
    <row r="52" spans="1:14" ht="30" customHeight="1" x14ac:dyDescent="0.3">
      <c r="A52" s="161">
        <v>2</v>
      </c>
      <c r="B52" s="137" t="s">
        <v>138</v>
      </c>
      <c r="C52" s="161" t="s">
        <v>67</v>
      </c>
      <c r="D52" s="38" t="s">
        <v>14</v>
      </c>
      <c r="E52" s="21">
        <f>E53+E54+E55</f>
        <v>235218.05</v>
      </c>
      <c r="F52" s="21">
        <f>F53+F54+F55</f>
        <v>0</v>
      </c>
      <c r="G52" s="21">
        <f>G53+G54+G55</f>
        <v>64274.7</v>
      </c>
      <c r="H52" s="21">
        <f t="shared" ref="H52:J52" si="20">H53+H54+H55</f>
        <v>161250</v>
      </c>
      <c r="I52" s="21">
        <f t="shared" si="20"/>
        <v>9693.3499999999985</v>
      </c>
      <c r="J52" s="21">
        <f t="shared" si="20"/>
        <v>0</v>
      </c>
      <c r="K52" s="127" t="s">
        <v>17</v>
      </c>
    </row>
    <row r="53" spans="1:14" ht="32.25" customHeight="1" x14ac:dyDescent="0.3">
      <c r="A53" s="161"/>
      <c r="B53" s="137"/>
      <c r="C53" s="161"/>
      <c r="D53" s="38" t="s">
        <v>10</v>
      </c>
      <c r="E53" s="21">
        <f>F53+G53+H53+I53+J53</f>
        <v>106668.65</v>
      </c>
      <c r="F53" s="21">
        <v>0</v>
      </c>
      <c r="G53" s="21">
        <v>0</v>
      </c>
      <c r="H53" s="21">
        <f>106668.65-6048.65</f>
        <v>100620</v>
      </c>
      <c r="I53" s="21">
        <v>6048.65</v>
      </c>
      <c r="J53" s="21">
        <v>0</v>
      </c>
      <c r="K53" s="127"/>
    </row>
    <row r="54" spans="1:14" s="19" customFormat="1" ht="34.5" customHeight="1" x14ac:dyDescent="0.25">
      <c r="A54" s="161"/>
      <c r="B54" s="137"/>
      <c r="C54" s="161"/>
      <c r="D54" s="38" t="s">
        <v>18</v>
      </c>
      <c r="E54" s="21">
        <f>F54+G54+H54+I54+J54</f>
        <v>128549.4</v>
      </c>
      <c r="F54" s="21">
        <v>0</v>
      </c>
      <c r="G54" s="21">
        <v>64274.7</v>
      </c>
      <c r="H54" s="21">
        <f>64274.7-3644.7</f>
        <v>60630</v>
      </c>
      <c r="I54" s="21">
        <v>3644.7</v>
      </c>
      <c r="J54" s="21">
        <v>0</v>
      </c>
      <c r="K54" s="127"/>
    </row>
    <row r="55" spans="1:14" s="19" customFormat="1" ht="34.5" customHeight="1" x14ac:dyDescent="0.25">
      <c r="A55" s="161"/>
      <c r="B55" s="137"/>
      <c r="C55" s="161"/>
      <c r="D55" s="38" t="s">
        <v>12</v>
      </c>
      <c r="E55" s="21">
        <f>F55+G55+H55+I55+J55</f>
        <v>0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127"/>
    </row>
    <row r="56" spans="1:14" ht="30" customHeight="1" x14ac:dyDescent="0.3">
      <c r="A56" s="161">
        <v>3</v>
      </c>
      <c r="B56" s="137" t="s">
        <v>139</v>
      </c>
      <c r="C56" s="161" t="s">
        <v>67</v>
      </c>
      <c r="D56" s="38" t="s">
        <v>14</v>
      </c>
      <c r="E56" s="21">
        <f>E57+E58+E59</f>
        <v>10797.01</v>
      </c>
      <c r="F56" s="21">
        <f>F57+F58+F59</f>
        <v>0</v>
      </c>
      <c r="G56" s="21">
        <f>G57+G58+G59</f>
        <v>10797.01</v>
      </c>
      <c r="H56" s="21">
        <f t="shared" ref="H56:J56" si="21">H57+H58+H59</f>
        <v>0</v>
      </c>
      <c r="I56" s="21">
        <f t="shared" si="21"/>
        <v>0</v>
      </c>
      <c r="J56" s="21">
        <f t="shared" si="21"/>
        <v>0</v>
      </c>
      <c r="K56" s="127" t="s">
        <v>17</v>
      </c>
    </row>
    <row r="57" spans="1:14" ht="32.25" customHeight="1" x14ac:dyDescent="0.3">
      <c r="A57" s="161"/>
      <c r="B57" s="137"/>
      <c r="C57" s="161"/>
      <c r="D57" s="38" t="s">
        <v>10</v>
      </c>
      <c r="E57" s="21">
        <f>F57+G57+H57+I57+J57</f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127"/>
    </row>
    <row r="58" spans="1:14" s="19" customFormat="1" ht="34.5" customHeight="1" x14ac:dyDescent="0.25">
      <c r="A58" s="161"/>
      <c r="B58" s="137"/>
      <c r="C58" s="161"/>
      <c r="D58" s="38" t="s">
        <v>18</v>
      </c>
      <c r="E58" s="21">
        <f>F58+G58+H58+I58+J58</f>
        <v>10797.01</v>
      </c>
      <c r="F58" s="21">
        <v>0</v>
      </c>
      <c r="G58" s="21">
        <v>10797.01</v>
      </c>
      <c r="H58" s="21">
        <v>0</v>
      </c>
      <c r="I58" s="21">
        <v>0</v>
      </c>
      <c r="J58" s="21">
        <v>0</v>
      </c>
      <c r="K58" s="127"/>
    </row>
    <row r="59" spans="1:14" s="19" customFormat="1" ht="34.5" customHeight="1" x14ac:dyDescent="0.25">
      <c r="A59" s="161"/>
      <c r="B59" s="137"/>
      <c r="C59" s="161"/>
      <c r="D59" s="38" t="s">
        <v>12</v>
      </c>
      <c r="E59" s="21">
        <f>F59+G59+H59+I59+J59</f>
        <v>0</v>
      </c>
      <c r="F59" s="21">
        <v>0</v>
      </c>
      <c r="G59" s="21">
        <v>0</v>
      </c>
      <c r="H59" s="21">
        <v>0</v>
      </c>
      <c r="I59" s="21">
        <v>0</v>
      </c>
      <c r="J59" s="21">
        <v>0</v>
      </c>
      <c r="K59" s="127"/>
    </row>
    <row r="60" spans="1:14" ht="30" customHeight="1" x14ac:dyDescent="0.3">
      <c r="A60" s="161">
        <v>4</v>
      </c>
      <c r="B60" s="137" t="s">
        <v>140</v>
      </c>
      <c r="C60" s="161" t="s">
        <v>67</v>
      </c>
      <c r="D60" s="38" t="s">
        <v>14</v>
      </c>
      <c r="E60" s="21">
        <f>E61+E62+E63</f>
        <v>34430.800000000003</v>
      </c>
      <c r="F60" s="21">
        <f>F61+F62+F63</f>
        <v>0</v>
      </c>
      <c r="G60" s="21">
        <f>G61+G62+G63</f>
        <v>9408.42</v>
      </c>
      <c r="H60" s="21">
        <f t="shared" ref="H60:J60" si="22">H61+H62+H63</f>
        <v>25022.379999999997</v>
      </c>
      <c r="I60" s="21">
        <f t="shared" si="22"/>
        <v>0</v>
      </c>
      <c r="J60" s="21">
        <f t="shared" si="22"/>
        <v>0</v>
      </c>
      <c r="K60" s="127" t="s">
        <v>17</v>
      </c>
    </row>
    <row r="61" spans="1:14" ht="32.25" customHeight="1" x14ac:dyDescent="0.3">
      <c r="A61" s="161"/>
      <c r="B61" s="137"/>
      <c r="C61" s="161"/>
      <c r="D61" s="38" t="s">
        <v>10</v>
      </c>
      <c r="E61" s="21">
        <f>F61+G61+H61+I61+J61</f>
        <v>15613.96</v>
      </c>
      <c r="F61" s="21">
        <v>0</v>
      </c>
      <c r="G61" s="21">
        <v>0</v>
      </c>
      <c r="H61" s="21">
        <v>15613.96</v>
      </c>
      <c r="I61" s="21">
        <v>0</v>
      </c>
      <c r="J61" s="21">
        <v>0</v>
      </c>
      <c r="K61" s="127"/>
    </row>
    <row r="62" spans="1:14" s="19" customFormat="1" ht="34.5" customHeight="1" x14ac:dyDescent="0.25">
      <c r="A62" s="161"/>
      <c r="B62" s="137"/>
      <c r="C62" s="161"/>
      <c r="D62" s="38" t="s">
        <v>18</v>
      </c>
      <c r="E62" s="21">
        <f>F62+G62+H62+I62+J62</f>
        <v>18816.84</v>
      </c>
      <c r="F62" s="21">
        <v>0</v>
      </c>
      <c r="G62" s="21">
        <v>9408.42</v>
      </c>
      <c r="H62" s="21">
        <v>9408.42</v>
      </c>
      <c r="I62" s="21">
        <v>0</v>
      </c>
      <c r="J62" s="21">
        <v>0</v>
      </c>
      <c r="K62" s="127"/>
    </row>
    <row r="63" spans="1:14" s="19" customFormat="1" ht="34.5" customHeight="1" x14ac:dyDescent="0.25">
      <c r="A63" s="161"/>
      <c r="B63" s="137"/>
      <c r="C63" s="161"/>
      <c r="D63" s="38" t="s">
        <v>12</v>
      </c>
      <c r="E63" s="21">
        <f>F63+G63+H63+I63+J63</f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127"/>
    </row>
    <row r="64" spans="1:14" ht="30" customHeight="1" x14ac:dyDescent="0.3">
      <c r="A64" s="161">
        <v>5</v>
      </c>
      <c r="B64" s="137" t="s">
        <v>141</v>
      </c>
      <c r="C64" s="161" t="s">
        <v>67</v>
      </c>
      <c r="D64" s="38" t="s">
        <v>14</v>
      </c>
      <c r="E64" s="21">
        <f>E65+E66+E67</f>
        <v>16472.099999999999</v>
      </c>
      <c r="F64" s="21">
        <f>F65+F66+F67</f>
        <v>0</v>
      </c>
      <c r="G64" s="21">
        <f>G65+G66+G67</f>
        <v>4501.1000000000004</v>
      </c>
      <c r="H64" s="21">
        <f t="shared" ref="H64:J64" si="23">H65+H66+H67</f>
        <v>11971</v>
      </c>
      <c r="I64" s="21">
        <f t="shared" si="23"/>
        <v>0</v>
      </c>
      <c r="J64" s="21">
        <f t="shared" si="23"/>
        <v>0</v>
      </c>
      <c r="K64" s="127" t="s">
        <v>17</v>
      </c>
      <c r="L64" s="65"/>
      <c r="N64" s="46"/>
    </row>
    <row r="65" spans="1:17" ht="32.25" customHeight="1" x14ac:dyDescent="0.3">
      <c r="A65" s="161"/>
      <c r="B65" s="137"/>
      <c r="C65" s="161"/>
      <c r="D65" s="38" t="s">
        <v>10</v>
      </c>
      <c r="E65" s="21">
        <f>F65+G65+H65+I65+J65</f>
        <v>7469.9</v>
      </c>
      <c r="F65" s="21">
        <v>0</v>
      </c>
      <c r="G65" s="21">
        <v>0</v>
      </c>
      <c r="H65" s="21">
        <v>7469.9</v>
      </c>
      <c r="I65" s="21">
        <v>0</v>
      </c>
      <c r="J65" s="21">
        <v>0</v>
      </c>
      <c r="K65" s="127"/>
      <c r="M65" s="65"/>
      <c r="N65" s="46"/>
    </row>
    <row r="66" spans="1:17" s="19" customFormat="1" ht="34.5" customHeight="1" x14ac:dyDescent="0.25">
      <c r="A66" s="161"/>
      <c r="B66" s="137"/>
      <c r="C66" s="161"/>
      <c r="D66" s="38" t="s">
        <v>18</v>
      </c>
      <c r="E66" s="21">
        <f>F66+G66+H66+I66+J66</f>
        <v>9002.2000000000007</v>
      </c>
      <c r="F66" s="21">
        <v>0</v>
      </c>
      <c r="G66" s="21">
        <v>4501.1000000000004</v>
      </c>
      <c r="H66" s="21">
        <v>4501.1000000000004</v>
      </c>
      <c r="I66" s="21">
        <v>0</v>
      </c>
      <c r="J66" s="21">
        <v>0</v>
      </c>
      <c r="K66" s="127"/>
      <c r="M66" s="123"/>
      <c r="N66" s="20"/>
    </row>
    <row r="67" spans="1:17" s="19" customFormat="1" ht="34.5" customHeight="1" x14ac:dyDescent="0.25">
      <c r="A67" s="161"/>
      <c r="B67" s="137"/>
      <c r="C67" s="161"/>
      <c r="D67" s="38" t="s">
        <v>12</v>
      </c>
      <c r="E67" s="21">
        <f>F67+G67+H67+I67+J67</f>
        <v>0</v>
      </c>
      <c r="F67" s="21">
        <v>0</v>
      </c>
      <c r="G67" s="21">
        <v>0</v>
      </c>
      <c r="H67" s="21">
        <v>0</v>
      </c>
      <c r="I67" s="21">
        <v>0</v>
      </c>
      <c r="J67" s="21">
        <v>0</v>
      </c>
      <c r="K67" s="127"/>
    </row>
    <row r="68" spans="1:17" ht="30" customHeight="1" x14ac:dyDescent="0.3">
      <c r="A68" s="161">
        <v>6</v>
      </c>
      <c r="B68" s="137" t="s">
        <v>142</v>
      </c>
      <c r="C68" s="161" t="s">
        <v>67</v>
      </c>
      <c r="D68" s="38" t="s">
        <v>14</v>
      </c>
      <c r="E68" s="21">
        <f>E69+E70+E71</f>
        <v>29372.989999999998</v>
      </c>
      <c r="F68" s="21">
        <f>F69+F70+F71</f>
        <v>0</v>
      </c>
      <c r="G68" s="21">
        <f>G69+G70+G71</f>
        <v>8026.34</v>
      </c>
      <c r="H68" s="21">
        <f t="shared" ref="H68:J68" si="24">H69+H70+H71</f>
        <v>0</v>
      </c>
      <c r="I68" s="21">
        <f t="shared" si="24"/>
        <v>6346.65</v>
      </c>
      <c r="J68" s="21">
        <f t="shared" si="24"/>
        <v>15000</v>
      </c>
      <c r="K68" s="127" t="s">
        <v>17</v>
      </c>
    </row>
    <row r="69" spans="1:17" ht="32.25" customHeight="1" x14ac:dyDescent="0.3">
      <c r="A69" s="161"/>
      <c r="B69" s="137"/>
      <c r="C69" s="161"/>
      <c r="D69" s="38" t="s">
        <v>10</v>
      </c>
      <c r="E69" s="21">
        <f>F69+G69+H69+I69+J69</f>
        <v>13320.3</v>
      </c>
      <c r="F69" s="21">
        <v>0</v>
      </c>
      <c r="G69" s="21">
        <v>0</v>
      </c>
      <c r="H69" s="21">
        <v>0</v>
      </c>
      <c r="I69" s="21">
        <v>3960.3</v>
      </c>
      <c r="J69" s="21">
        <v>9360</v>
      </c>
      <c r="K69" s="127"/>
    </row>
    <row r="70" spans="1:17" s="19" customFormat="1" ht="34.5" customHeight="1" x14ac:dyDescent="0.25">
      <c r="A70" s="161"/>
      <c r="B70" s="137"/>
      <c r="C70" s="161"/>
      <c r="D70" s="38" t="s">
        <v>18</v>
      </c>
      <c r="E70" s="21">
        <f>F70+G70+H70+I70+J70</f>
        <v>16052.69</v>
      </c>
      <c r="F70" s="21">
        <v>0</v>
      </c>
      <c r="G70" s="21">
        <v>8026.34</v>
      </c>
      <c r="H70" s="21">
        <v>0</v>
      </c>
      <c r="I70" s="21">
        <v>2386.35</v>
      </c>
      <c r="J70" s="21">
        <v>5640</v>
      </c>
      <c r="K70" s="127"/>
    </row>
    <row r="71" spans="1:17" s="19" customFormat="1" ht="34.5" customHeight="1" x14ac:dyDescent="0.25">
      <c r="A71" s="161"/>
      <c r="B71" s="137"/>
      <c r="C71" s="161"/>
      <c r="D71" s="38" t="s">
        <v>12</v>
      </c>
      <c r="E71" s="21">
        <f>F71+G71+H71+I71+J71</f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127"/>
    </row>
    <row r="72" spans="1:17" ht="30" customHeight="1" x14ac:dyDescent="0.3">
      <c r="A72" s="161">
        <v>7</v>
      </c>
      <c r="B72" s="137" t="s">
        <v>143</v>
      </c>
      <c r="C72" s="161" t="s">
        <v>67</v>
      </c>
      <c r="D72" s="38" t="s">
        <v>14</v>
      </c>
      <c r="E72" s="21">
        <f>E73+E74+E75</f>
        <v>22292.190000000002</v>
      </c>
      <c r="F72" s="21">
        <f>F73+F74+F75</f>
        <v>0</v>
      </c>
      <c r="G72" s="21">
        <f>G73+G74+G75</f>
        <v>6091.47</v>
      </c>
      <c r="H72" s="21">
        <f t="shared" ref="H72:J72" si="25">H73+H74+H75</f>
        <v>16200.72</v>
      </c>
      <c r="I72" s="21">
        <f t="shared" si="25"/>
        <v>0</v>
      </c>
      <c r="J72" s="21">
        <f t="shared" si="25"/>
        <v>0</v>
      </c>
      <c r="K72" s="127" t="s">
        <v>17</v>
      </c>
      <c r="L72" s="65"/>
      <c r="Q72" s="65"/>
    </row>
    <row r="73" spans="1:17" ht="32.25" customHeight="1" x14ac:dyDescent="0.3">
      <c r="A73" s="161"/>
      <c r="B73" s="137"/>
      <c r="C73" s="161"/>
      <c r="D73" s="38" t="s">
        <v>10</v>
      </c>
      <c r="E73" s="21">
        <f>F73+G73+H73+I73+J73</f>
        <v>10109.24</v>
      </c>
      <c r="F73" s="21">
        <v>0</v>
      </c>
      <c r="G73" s="21">
        <v>0</v>
      </c>
      <c r="H73" s="21">
        <v>10109.24</v>
      </c>
      <c r="I73" s="21">
        <v>0</v>
      </c>
      <c r="J73" s="21">
        <v>0</v>
      </c>
      <c r="K73" s="127"/>
      <c r="N73" s="65"/>
      <c r="Q73" s="65"/>
    </row>
    <row r="74" spans="1:17" s="19" customFormat="1" ht="34.5" customHeight="1" x14ac:dyDescent="0.25">
      <c r="A74" s="161"/>
      <c r="B74" s="137"/>
      <c r="C74" s="161"/>
      <c r="D74" s="38" t="s">
        <v>18</v>
      </c>
      <c r="E74" s="21">
        <f>F74+G74+H74+I74+J74</f>
        <v>12182.95</v>
      </c>
      <c r="F74" s="21">
        <v>0</v>
      </c>
      <c r="G74" s="21">
        <v>6091.47</v>
      </c>
      <c r="H74" s="21">
        <v>6091.48</v>
      </c>
      <c r="I74" s="21">
        <v>0</v>
      </c>
      <c r="J74" s="21">
        <v>0</v>
      </c>
      <c r="K74" s="127"/>
      <c r="N74" s="123"/>
      <c r="Q74" s="123"/>
    </row>
    <row r="75" spans="1:17" s="19" customFormat="1" ht="34.5" customHeight="1" x14ac:dyDescent="0.25">
      <c r="A75" s="161"/>
      <c r="B75" s="137"/>
      <c r="C75" s="161"/>
      <c r="D75" s="38" t="s">
        <v>12</v>
      </c>
      <c r="E75" s="21">
        <f>F75+G75+H75+I75+J75</f>
        <v>0</v>
      </c>
      <c r="F75" s="21">
        <v>0</v>
      </c>
      <c r="G75" s="21">
        <v>0</v>
      </c>
      <c r="H75" s="21">
        <v>0</v>
      </c>
      <c r="I75" s="21">
        <v>0</v>
      </c>
      <c r="J75" s="21">
        <v>0</v>
      </c>
      <c r="K75" s="127"/>
    </row>
    <row r="76" spans="1:17" ht="30" customHeight="1" x14ac:dyDescent="0.3">
      <c r="A76" s="161">
        <v>8</v>
      </c>
      <c r="B76" s="137" t="s">
        <v>144</v>
      </c>
      <c r="C76" s="161" t="s">
        <v>67</v>
      </c>
      <c r="D76" s="38" t="s">
        <v>14</v>
      </c>
      <c r="E76" s="21">
        <f>E77+E78+E79</f>
        <v>14904.48</v>
      </c>
      <c r="F76" s="21">
        <f>F77+F78+F79</f>
        <v>0</v>
      </c>
      <c r="G76" s="21">
        <f>G77+G78+G79</f>
        <v>5282.79</v>
      </c>
      <c r="H76" s="21">
        <f t="shared" ref="H76:J76" si="26">H77+H78+H79</f>
        <v>0</v>
      </c>
      <c r="I76" s="21">
        <f t="shared" si="26"/>
        <v>9621.69</v>
      </c>
      <c r="J76" s="21">
        <f t="shared" si="26"/>
        <v>0</v>
      </c>
      <c r="K76" s="127" t="s">
        <v>17</v>
      </c>
    </row>
    <row r="77" spans="1:17" ht="32.25" customHeight="1" x14ac:dyDescent="0.3">
      <c r="A77" s="161"/>
      <c r="B77" s="137"/>
      <c r="C77" s="161"/>
      <c r="D77" s="38" t="s">
        <v>10</v>
      </c>
      <c r="E77" s="21">
        <f>F77+G77+H77+I77+J77</f>
        <v>7668.96</v>
      </c>
      <c r="F77" s="21">
        <v>0</v>
      </c>
      <c r="G77" s="21">
        <v>1665.03</v>
      </c>
      <c r="H77" s="21">
        <v>0</v>
      </c>
      <c r="I77" s="21">
        <v>6003.93</v>
      </c>
      <c r="J77" s="21">
        <v>0</v>
      </c>
      <c r="K77" s="127"/>
    </row>
    <row r="78" spans="1:17" s="19" customFormat="1" ht="34.5" customHeight="1" x14ac:dyDescent="0.25">
      <c r="A78" s="161"/>
      <c r="B78" s="137"/>
      <c r="C78" s="161"/>
      <c r="D78" s="38" t="s">
        <v>18</v>
      </c>
      <c r="E78" s="21">
        <f>F78+G78+H78+I78+J78</f>
        <v>7235.52</v>
      </c>
      <c r="F78" s="21">
        <v>0</v>
      </c>
      <c r="G78" s="21">
        <v>3617.76</v>
      </c>
      <c r="H78" s="21">
        <v>0</v>
      </c>
      <c r="I78" s="21">
        <v>3617.76</v>
      </c>
      <c r="J78" s="21">
        <v>0</v>
      </c>
      <c r="K78" s="127"/>
    </row>
    <row r="79" spans="1:17" s="19" customFormat="1" ht="34.5" customHeight="1" x14ac:dyDescent="0.25">
      <c r="A79" s="161"/>
      <c r="B79" s="137"/>
      <c r="C79" s="161"/>
      <c r="D79" s="38" t="s">
        <v>12</v>
      </c>
      <c r="E79" s="21">
        <f>F79+G79+H79+I79+J79</f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127"/>
    </row>
    <row r="80" spans="1:17" ht="30" customHeight="1" x14ac:dyDescent="0.3">
      <c r="A80" s="161">
        <v>9</v>
      </c>
      <c r="B80" s="137" t="s">
        <v>145</v>
      </c>
      <c r="C80" s="161" t="s">
        <v>67</v>
      </c>
      <c r="D80" s="38" t="s">
        <v>14</v>
      </c>
      <c r="E80" s="21">
        <f>E81+E82+E83</f>
        <v>0</v>
      </c>
      <c r="F80" s="21">
        <f>F81+F82+F83</f>
        <v>0</v>
      </c>
      <c r="G80" s="21">
        <f>G81+G82+G83</f>
        <v>0</v>
      </c>
      <c r="H80" s="21">
        <f t="shared" ref="H80:J80" si="27">H81+H82+H83</f>
        <v>0</v>
      </c>
      <c r="I80" s="21">
        <f t="shared" si="27"/>
        <v>0</v>
      </c>
      <c r="J80" s="21">
        <f t="shared" si="27"/>
        <v>0</v>
      </c>
      <c r="K80" s="127" t="s">
        <v>17</v>
      </c>
    </row>
    <row r="81" spans="1:14" ht="32.25" customHeight="1" x14ac:dyDescent="0.3">
      <c r="A81" s="161"/>
      <c r="B81" s="137"/>
      <c r="C81" s="161"/>
      <c r="D81" s="38" t="s">
        <v>10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127"/>
    </row>
    <row r="82" spans="1:14" s="19" customFormat="1" ht="34.5" customHeight="1" x14ac:dyDescent="0.25">
      <c r="A82" s="161"/>
      <c r="B82" s="137"/>
      <c r="C82" s="161"/>
      <c r="D82" s="38" t="s">
        <v>18</v>
      </c>
      <c r="E82" s="21">
        <f>F82+G82+H82+I82+J82</f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127"/>
    </row>
    <row r="83" spans="1:14" s="19" customFormat="1" ht="34.5" customHeight="1" x14ac:dyDescent="0.25">
      <c r="A83" s="161"/>
      <c r="B83" s="137"/>
      <c r="C83" s="161"/>
      <c r="D83" s="38" t="s">
        <v>12</v>
      </c>
      <c r="E83" s="21">
        <f>F83+G83+H83+I83+J83</f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127"/>
    </row>
    <row r="84" spans="1:14" ht="24.75" customHeight="1" x14ac:dyDescent="0.3">
      <c r="A84" s="203" t="s">
        <v>455</v>
      </c>
      <c r="B84" s="204"/>
      <c r="C84" s="204"/>
      <c r="D84" s="204"/>
      <c r="E84" s="204"/>
      <c r="F84" s="204"/>
      <c r="G84" s="204"/>
      <c r="H84" s="204"/>
      <c r="I84" s="204"/>
      <c r="J84" s="204"/>
      <c r="K84" s="263"/>
    </row>
    <row r="85" spans="1:14" s="19" customFormat="1" ht="36" customHeight="1" x14ac:dyDescent="0.25">
      <c r="A85" s="146"/>
      <c r="B85" s="264" t="s">
        <v>157</v>
      </c>
      <c r="C85" s="146" t="s">
        <v>67</v>
      </c>
      <c r="D85" s="38" t="s">
        <v>14</v>
      </c>
      <c r="E85" s="21">
        <f>E86+E87</f>
        <v>176194.24</v>
      </c>
      <c r="F85" s="21">
        <f>F89+F92+F96+F100+F104+F108+F112+F116+F120+F124+F128+F132+F136+F140+F144</f>
        <v>0</v>
      </c>
      <c r="G85" s="21">
        <f>G86+G87</f>
        <v>8809.7099999999991</v>
      </c>
      <c r="H85" s="21">
        <f>H86+H87</f>
        <v>164100</v>
      </c>
      <c r="I85" s="21">
        <f>I89</f>
        <v>3284.53</v>
      </c>
      <c r="J85" s="21">
        <f t="shared" ref="J85:J87" si="28">J89+J92+J96+J100+J104+J108+J112+J116+J120+J124+J128+J132+J136+J140+J144</f>
        <v>0</v>
      </c>
      <c r="K85" s="153"/>
    </row>
    <row r="86" spans="1:14" s="19" customFormat="1" ht="36" customHeight="1" x14ac:dyDescent="0.25">
      <c r="A86" s="147"/>
      <c r="B86" s="265"/>
      <c r="C86" s="147"/>
      <c r="D86" s="38" t="s">
        <v>10</v>
      </c>
      <c r="E86" s="21">
        <f>E90</f>
        <v>109945.20999999999</v>
      </c>
      <c r="F86" s="21">
        <f>F90+F93+F97+F101+F105+F109+F113+F117+F121+F125+F129+F133+F137+F141+F145</f>
        <v>0</v>
      </c>
      <c r="G86" s="21">
        <f>G90</f>
        <v>5497.26</v>
      </c>
      <c r="H86" s="21">
        <f>H90</f>
        <v>102398.39999999999</v>
      </c>
      <c r="I86" s="21">
        <f>I90</f>
        <v>2049.5500000000002</v>
      </c>
      <c r="J86" s="21">
        <f t="shared" si="28"/>
        <v>0</v>
      </c>
      <c r="K86" s="154"/>
    </row>
    <row r="87" spans="1:14" s="19" customFormat="1" ht="36" customHeight="1" x14ac:dyDescent="0.25">
      <c r="A87" s="147"/>
      <c r="B87" s="265"/>
      <c r="C87" s="147"/>
      <c r="D87" s="38" t="s">
        <v>18</v>
      </c>
      <c r="E87" s="21">
        <f>E91</f>
        <v>66249.03</v>
      </c>
      <c r="F87" s="21">
        <f>F91+F94+F98+F102+F106+F110+F114+F118+F122+F126+F130+F134+F138+F142+F146</f>
        <v>0</v>
      </c>
      <c r="G87" s="21">
        <f>G91</f>
        <v>3312.45</v>
      </c>
      <c r="H87" s="21">
        <f>H91</f>
        <v>61701.599999999999</v>
      </c>
      <c r="I87" s="21">
        <f>I91</f>
        <v>1234.98</v>
      </c>
      <c r="J87" s="21">
        <f t="shared" si="28"/>
        <v>0</v>
      </c>
      <c r="K87" s="154"/>
    </row>
    <row r="88" spans="1:14" s="19" customFormat="1" ht="26.25" customHeight="1" x14ac:dyDescent="0.25">
      <c r="A88" s="148"/>
      <c r="B88" s="266"/>
      <c r="C88" s="148"/>
      <c r="D88" s="38" t="s">
        <v>12</v>
      </c>
      <c r="E88" s="21">
        <v>0</v>
      </c>
      <c r="F88" s="21">
        <v>0</v>
      </c>
      <c r="G88" s="21">
        <v>0</v>
      </c>
      <c r="H88" s="21">
        <v>0</v>
      </c>
      <c r="I88" s="21">
        <v>0</v>
      </c>
      <c r="J88" s="21">
        <v>0</v>
      </c>
      <c r="K88" s="155"/>
    </row>
    <row r="89" spans="1:14" s="19" customFormat="1" ht="36" customHeight="1" x14ac:dyDescent="0.25">
      <c r="A89" s="161">
        <v>1</v>
      </c>
      <c r="B89" s="137" t="s">
        <v>449</v>
      </c>
      <c r="C89" s="161" t="s">
        <v>67</v>
      </c>
      <c r="D89" s="38" t="s">
        <v>14</v>
      </c>
      <c r="E89" s="21">
        <f>F89+G89+H89+I89+J89</f>
        <v>176194.24</v>
      </c>
      <c r="F89" s="21">
        <f>F90+F91</f>
        <v>0</v>
      </c>
      <c r="G89" s="21">
        <f>G90+G91</f>
        <v>8809.7099999999991</v>
      </c>
      <c r="H89" s="21">
        <f t="shared" ref="H89:J89" si="29">H90+H91</f>
        <v>164100</v>
      </c>
      <c r="I89" s="21">
        <f t="shared" si="29"/>
        <v>3284.53</v>
      </c>
      <c r="J89" s="21">
        <f t="shared" si="29"/>
        <v>0</v>
      </c>
      <c r="K89" s="127" t="s">
        <v>17</v>
      </c>
    </row>
    <row r="90" spans="1:14" s="19" customFormat="1" ht="36" customHeight="1" x14ac:dyDescent="0.25">
      <c r="A90" s="161"/>
      <c r="B90" s="137"/>
      <c r="C90" s="161"/>
      <c r="D90" s="38" t="s">
        <v>10</v>
      </c>
      <c r="E90" s="21">
        <f>F90+G90+H90+I90+J90</f>
        <v>109945.20999999999</v>
      </c>
      <c r="F90" s="21">
        <v>0</v>
      </c>
      <c r="G90" s="21">
        <v>5497.26</v>
      </c>
      <c r="H90" s="21">
        <v>102398.39999999999</v>
      </c>
      <c r="I90" s="21">
        <v>2049.5500000000002</v>
      </c>
      <c r="J90" s="21">
        <v>0</v>
      </c>
      <c r="K90" s="127"/>
      <c r="L90" s="121"/>
      <c r="N90" s="122"/>
    </row>
    <row r="91" spans="1:14" s="19" customFormat="1" ht="36" customHeight="1" x14ac:dyDescent="0.25">
      <c r="A91" s="161"/>
      <c r="B91" s="137"/>
      <c r="C91" s="161"/>
      <c r="D91" s="38" t="s">
        <v>18</v>
      </c>
      <c r="E91" s="21">
        <f>F91+G91+H91+I91+J91</f>
        <v>66249.03</v>
      </c>
      <c r="F91" s="21">
        <v>0</v>
      </c>
      <c r="G91" s="21">
        <v>3312.45</v>
      </c>
      <c r="H91" s="21">
        <v>61701.599999999999</v>
      </c>
      <c r="I91" s="21">
        <v>1234.98</v>
      </c>
      <c r="J91" s="21">
        <v>0</v>
      </c>
      <c r="K91" s="127"/>
      <c r="L91" s="121"/>
      <c r="N91" s="122"/>
    </row>
    <row r="92" spans="1:14" ht="24.75" customHeight="1" x14ac:dyDescent="0.3">
      <c r="A92" s="203" t="s">
        <v>407</v>
      </c>
      <c r="B92" s="204"/>
      <c r="C92" s="204"/>
      <c r="D92" s="204"/>
      <c r="E92" s="204"/>
      <c r="F92" s="204"/>
      <c r="G92" s="204"/>
      <c r="H92" s="204"/>
      <c r="I92" s="204"/>
      <c r="J92" s="204"/>
      <c r="K92" s="263"/>
    </row>
    <row r="93" spans="1:14" s="19" customFormat="1" ht="36" customHeight="1" x14ac:dyDescent="0.25">
      <c r="A93" s="161"/>
      <c r="B93" s="173" t="s">
        <v>157</v>
      </c>
      <c r="C93" s="161" t="s">
        <v>67</v>
      </c>
      <c r="D93" s="38" t="s">
        <v>14</v>
      </c>
      <c r="E93" s="21">
        <f>E97+E100+E104+E108+E112+E116+E120+E124+E128+E132+E136+E140+E144+E148+E152</f>
        <v>472929.72</v>
      </c>
      <c r="F93" s="21">
        <f t="shared" ref="F93:J93" si="30">F97+F100+F104+F108+F112+F116+F120+F124+F128+F132+F136+F140+F144+F148+F152</f>
        <v>0</v>
      </c>
      <c r="G93" s="21">
        <f>G97+G100+G104+G108+G112+G116+G120+G124+G128+G132+G136+G140+G144+G148+G152</f>
        <v>397727.51</v>
      </c>
      <c r="H93" s="21">
        <f t="shared" si="30"/>
        <v>75202.209999999992</v>
      </c>
      <c r="I93" s="21">
        <f t="shared" si="30"/>
        <v>0</v>
      </c>
      <c r="J93" s="21">
        <f t="shared" si="30"/>
        <v>0</v>
      </c>
      <c r="K93" s="127"/>
    </row>
    <row r="94" spans="1:14" s="19" customFormat="1" ht="36" customHeight="1" x14ac:dyDescent="0.25">
      <c r="A94" s="161"/>
      <c r="B94" s="173"/>
      <c r="C94" s="161"/>
      <c r="D94" s="38" t="s">
        <v>10</v>
      </c>
      <c r="E94" s="21">
        <f>E98+E101+E105+E109+E113+E117+E121+E125+E129+E133+E137+E141+E145+E149+E153</f>
        <v>290187.93</v>
      </c>
      <c r="F94" s="21">
        <f t="shared" ref="F94:J94" si="31">F98+F101+F105+F109+F113+F117+F121+F125+F129+F133+F137+F141+F145+F149+F153</f>
        <v>0</v>
      </c>
      <c r="G94" s="21">
        <f>G98+G101+G105+G109+G113+G117+G121+G125+G129+G133+G137+G141+G145+G149+G153</f>
        <v>248182.03000000003</v>
      </c>
      <c r="H94" s="21">
        <f>H98+H101+H105+H109+H113+H117+H121+H125+H129+H133+H137+H141+H145+H149+H153</f>
        <v>42005.9</v>
      </c>
      <c r="I94" s="21">
        <f t="shared" si="31"/>
        <v>0</v>
      </c>
      <c r="J94" s="21">
        <f t="shared" si="31"/>
        <v>0</v>
      </c>
      <c r="K94" s="127"/>
    </row>
    <row r="95" spans="1:14" s="19" customFormat="1" ht="36" customHeight="1" x14ac:dyDescent="0.25">
      <c r="A95" s="161"/>
      <c r="B95" s="173"/>
      <c r="C95" s="161"/>
      <c r="D95" s="38" t="s">
        <v>18</v>
      </c>
      <c r="E95" s="21">
        <f>E99+E102+E106+E110+E114+E118+E122+E126+E130+E134+E138+E142+E146+E150+E154</f>
        <v>182741.78999999998</v>
      </c>
      <c r="F95" s="21">
        <f t="shared" ref="F95:J95" si="32">F99+F102+F106+F110+F114+F118+F122+F126+F130+F134+F138+F142+F146+F150+F154</f>
        <v>0</v>
      </c>
      <c r="G95" s="21">
        <f>G99+G102+G106+G110+G114+G118+G122+G126+G130+G134+G138+G142+G146+G150+G154</f>
        <v>149545.47999999998</v>
      </c>
      <c r="H95" s="21">
        <f>H99+H102+H106+H110+H114+H118+H122+H126+H130+H134+H138+H142+H146+H150+H154</f>
        <v>33196.31</v>
      </c>
      <c r="I95" s="21">
        <f t="shared" si="32"/>
        <v>0</v>
      </c>
      <c r="J95" s="21">
        <f t="shared" si="32"/>
        <v>0</v>
      </c>
      <c r="K95" s="127"/>
    </row>
    <row r="96" spans="1:14" s="19" customFormat="1" ht="26.25" customHeight="1" x14ac:dyDescent="0.25">
      <c r="A96" s="161"/>
      <c r="B96" s="173"/>
      <c r="C96" s="161"/>
      <c r="D96" s="38" t="s">
        <v>12</v>
      </c>
      <c r="E96" s="21">
        <v>0</v>
      </c>
      <c r="F96" s="21">
        <v>0</v>
      </c>
      <c r="G96" s="21">
        <v>0</v>
      </c>
      <c r="H96" s="21">
        <v>0</v>
      </c>
      <c r="I96" s="21">
        <v>0</v>
      </c>
      <c r="J96" s="21">
        <v>0</v>
      </c>
      <c r="K96" s="127"/>
    </row>
    <row r="97" spans="1:14" s="19" customFormat="1" ht="36" customHeight="1" x14ac:dyDescent="0.25">
      <c r="A97" s="161">
        <v>1</v>
      </c>
      <c r="B97" s="137" t="s">
        <v>271</v>
      </c>
      <c r="C97" s="161" t="s">
        <v>67</v>
      </c>
      <c r="D97" s="38" t="s">
        <v>14</v>
      </c>
      <c r="E97" s="21">
        <f>F97+G97+H97+I97+J97</f>
        <v>52372.17</v>
      </c>
      <c r="F97" s="21">
        <f>F98+F99</f>
        <v>0</v>
      </c>
      <c r="G97" s="21">
        <f t="shared" ref="G97:J97" si="33">G98+G99</f>
        <v>48683.369999999995</v>
      </c>
      <c r="H97" s="21">
        <f>H98+H99</f>
        <v>3688.8</v>
      </c>
      <c r="I97" s="21">
        <f t="shared" si="33"/>
        <v>0</v>
      </c>
      <c r="J97" s="21">
        <f t="shared" si="33"/>
        <v>0</v>
      </c>
      <c r="K97" s="127" t="s">
        <v>17</v>
      </c>
    </row>
    <row r="98" spans="1:14" s="19" customFormat="1" ht="36" customHeight="1" x14ac:dyDescent="0.25">
      <c r="A98" s="161"/>
      <c r="B98" s="137"/>
      <c r="C98" s="161"/>
      <c r="D98" s="38" t="s">
        <v>10</v>
      </c>
      <c r="E98" s="21">
        <f>F98+G98+H98+I98+J98</f>
        <v>32680.23</v>
      </c>
      <c r="F98" s="21">
        <v>0</v>
      </c>
      <c r="G98" s="21">
        <v>30378.42</v>
      </c>
      <c r="H98" s="21">
        <v>2301.81</v>
      </c>
      <c r="I98" s="21">
        <v>0</v>
      </c>
      <c r="J98" s="21">
        <v>0</v>
      </c>
      <c r="K98" s="127"/>
      <c r="L98" s="121"/>
      <c r="N98" s="122"/>
    </row>
    <row r="99" spans="1:14" s="19" customFormat="1" ht="36" customHeight="1" x14ac:dyDescent="0.25">
      <c r="A99" s="161"/>
      <c r="B99" s="137"/>
      <c r="C99" s="161"/>
      <c r="D99" s="38" t="s">
        <v>18</v>
      </c>
      <c r="E99" s="21">
        <f>F99+G99+H99+I99+J99</f>
        <v>19691.940000000002</v>
      </c>
      <c r="F99" s="21">
        <v>0</v>
      </c>
      <c r="G99" s="21">
        <v>18304.95</v>
      </c>
      <c r="H99" s="21">
        <v>1386.99</v>
      </c>
      <c r="I99" s="21">
        <v>0</v>
      </c>
      <c r="J99" s="21">
        <v>0</v>
      </c>
      <c r="K99" s="127"/>
      <c r="L99" s="121"/>
      <c r="N99" s="122"/>
    </row>
    <row r="100" spans="1:14" ht="25.5" customHeight="1" x14ac:dyDescent="0.3">
      <c r="A100" s="161">
        <v>2</v>
      </c>
      <c r="B100" s="137" t="s">
        <v>146</v>
      </c>
      <c r="C100" s="161" t="s">
        <v>67</v>
      </c>
      <c r="D100" s="38" t="s">
        <v>14</v>
      </c>
      <c r="E100" s="21">
        <f>E101+E102+E103</f>
        <v>0</v>
      </c>
      <c r="F100" s="21">
        <f>F101+F102+F103</f>
        <v>0</v>
      </c>
      <c r="G100" s="21">
        <f>G101+G102+G103</f>
        <v>0</v>
      </c>
      <c r="H100" s="21">
        <f t="shared" ref="H100:J100" si="34">H101+H102+H103</f>
        <v>0</v>
      </c>
      <c r="I100" s="21">
        <f t="shared" si="34"/>
        <v>0</v>
      </c>
      <c r="J100" s="21">
        <f t="shared" si="34"/>
        <v>0</v>
      </c>
      <c r="K100" s="127" t="s">
        <v>17</v>
      </c>
    </row>
    <row r="101" spans="1:14" ht="32.25" customHeight="1" x14ac:dyDescent="0.3">
      <c r="A101" s="161"/>
      <c r="B101" s="137"/>
      <c r="C101" s="161"/>
      <c r="D101" s="38" t="s">
        <v>10</v>
      </c>
      <c r="E101" s="21">
        <v>0</v>
      </c>
      <c r="F101" s="21">
        <v>0</v>
      </c>
      <c r="G101" s="21">
        <v>0</v>
      </c>
      <c r="H101" s="21">
        <v>0</v>
      </c>
      <c r="I101" s="21">
        <v>0</v>
      </c>
      <c r="J101" s="21">
        <v>0</v>
      </c>
      <c r="K101" s="127"/>
    </row>
    <row r="102" spans="1:14" s="19" customFormat="1" ht="34.5" customHeight="1" x14ac:dyDescent="0.25">
      <c r="A102" s="161"/>
      <c r="B102" s="137"/>
      <c r="C102" s="161"/>
      <c r="D102" s="38" t="s">
        <v>18</v>
      </c>
      <c r="E102" s="21">
        <f>F102+G102+H102+I102+J102</f>
        <v>0</v>
      </c>
      <c r="F102" s="21">
        <v>0</v>
      </c>
      <c r="G102" s="21">
        <v>0</v>
      </c>
      <c r="H102" s="21">
        <v>0</v>
      </c>
      <c r="I102" s="21">
        <v>0</v>
      </c>
      <c r="J102" s="21">
        <v>0</v>
      </c>
      <c r="K102" s="127"/>
    </row>
    <row r="103" spans="1:14" s="19" customFormat="1" ht="26.25" customHeight="1" x14ac:dyDescent="0.25">
      <c r="A103" s="161"/>
      <c r="B103" s="137"/>
      <c r="C103" s="161"/>
      <c r="D103" s="38" t="s">
        <v>12</v>
      </c>
      <c r="E103" s="21">
        <f>F103+G103+H103+I103+J103</f>
        <v>0</v>
      </c>
      <c r="F103" s="21">
        <v>0</v>
      </c>
      <c r="G103" s="21">
        <v>0</v>
      </c>
      <c r="H103" s="21">
        <v>0</v>
      </c>
      <c r="I103" s="21">
        <v>0</v>
      </c>
      <c r="J103" s="21">
        <v>0</v>
      </c>
      <c r="K103" s="127"/>
    </row>
    <row r="104" spans="1:14" ht="32.25" customHeight="1" x14ac:dyDescent="0.3">
      <c r="A104" s="161">
        <v>3</v>
      </c>
      <c r="B104" s="137" t="s">
        <v>347</v>
      </c>
      <c r="C104" s="161" t="s">
        <v>67</v>
      </c>
      <c r="D104" s="38" t="s">
        <v>14</v>
      </c>
      <c r="E104" s="21">
        <f>E105+E106+E107</f>
        <v>68655.899999999994</v>
      </c>
      <c r="F104" s="21">
        <f>F105+F106+F107</f>
        <v>0</v>
      </c>
      <c r="G104" s="21">
        <v>68655.899999999994</v>
      </c>
      <c r="H104" s="21">
        <f t="shared" ref="H104:J104" si="35">H105+H106+H107</f>
        <v>0</v>
      </c>
      <c r="I104" s="21">
        <f t="shared" si="35"/>
        <v>0</v>
      </c>
      <c r="J104" s="21">
        <f t="shared" si="35"/>
        <v>0</v>
      </c>
      <c r="K104" s="127" t="s">
        <v>17</v>
      </c>
    </row>
    <row r="105" spans="1:14" ht="32.25" customHeight="1" x14ac:dyDescent="0.3">
      <c r="A105" s="161"/>
      <c r="B105" s="137"/>
      <c r="C105" s="161"/>
      <c r="D105" s="38" t="s">
        <v>10</v>
      </c>
      <c r="E105" s="21">
        <f>F105+G105+H105+I105+J105</f>
        <v>42841.29</v>
      </c>
      <c r="F105" s="21">
        <v>0</v>
      </c>
      <c r="G105" s="21">
        <v>42841.29</v>
      </c>
      <c r="H105" s="21">
        <v>0</v>
      </c>
      <c r="I105" s="21">
        <v>0</v>
      </c>
      <c r="J105" s="21">
        <v>0</v>
      </c>
      <c r="K105" s="127"/>
    </row>
    <row r="106" spans="1:14" s="19" customFormat="1" ht="38.25" customHeight="1" x14ac:dyDescent="0.25">
      <c r="A106" s="161"/>
      <c r="B106" s="137"/>
      <c r="C106" s="161"/>
      <c r="D106" s="38" t="s">
        <v>18</v>
      </c>
      <c r="E106" s="21">
        <f>F106+G106+H106+I106+J106</f>
        <v>25814.61</v>
      </c>
      <c r="F106" s="21">
        <v>0</v>
      </c>
      <c r="G106" s="21">
        <v>25814.61</v>
      </c>
      <c r="H106" s="21">
        <v>0</v>
      </c>
      <c r="I106" s="21">
        <v>0</v>
      </c>
      <c r="J106" s="21">
        <v>0</v>
      </c>
      <c r="K106" s="127"/>
    </row>
    <row r="107" spans="1:14" s="19" customFormat="1" ht="30.75" customHeight="1" x14ac:dyDescent="0.25">
      <c r="A107" s="161"/>
      <c r="B107" s="137"/>
      <c r="C107" s="161"/>
      <c r="D107" s="38" t="s">
        <v>12</v>
      </c>
      <c r="E107" s="21">
        <f>F107+G107+H107+I107+J107</f>
        <v>0</v>
      </c>
      <c r="F107" s="21">
        <v>0</v>
      </c>
      <c r="G107" s="21">
        <v>0</v>
      </c>
      <c r="H107" s="21">
        <v>0</v>
      </c>
      <c r="I107" s="21">
        <v>0</v>
      </c>
      <c r="J107" s="21">
        <v>0</v>
      </c>
      <c r="K107" s="127"/>
    </row>
    <row r="108" spans="1:14" ht="32.25" customHeight="1" x14ac:dyDescent="0.3">
      <c r="A108" s="161">
        <v>4</v>
      </c>
      <c r="B108" s="137" t="s">
        <v>147</v>
      </c>
      <c r="C108" s="161" t="s">
        <v>67</v>
      </c>
      <c r="D108" s="38" t="s">
        <v>14</v>
      </c>
      <c r="E108" s="21">
        <f>E109+E110+E111</f>
        <v>0</v>
      </c>
      <c r="F108" s="21">
        <f>F109+F110+F111</f>
        <v>0</v>
      </c>
      <c r="G108" s="21">
        <v>0</v>
      </c>
      <c r="H108" s="21">
        <v>0</v>
      </c>
      <c r="I108" s="21">
        <v>0</v>
      </c>
      <c r="J108" s="21">
        <v>0</v>
      </c>
      <c r="K108" s="127" t="s">
        <v>17</v>
      </c>
    </row>
    <row r="109" spans="1:14" ht="32.25" customHeight="1" x14ac:dyDescent="0.3">
      <c r="A109" s="161"/>
      <c r="B109" s="137"/>
      <c r="C109" s="161"/>
      <c r="D109" s="38" t="s">
        <v>10</v>
      </c>
      <c r="E109" s="21">
        <v>0</v>
      </c>
      <c r="F109" s="21">
        <v>0</v>
      </c>
      <c r="G109" s="21">
        <v>0</v>
      </c>
      <c r="H109" s="21">
        <v>0</v>
      </c>
      <c r="I109" s="21">
        <v>0</v>
      </c>
      <c r="J109" s="21">
        <v>0</v>
      </c>
      <c r="K109" s="127"/>
    </row>
    <row r="110" spans="1:14" s="19" customFormat="1" ht="37.5" customHeight="1" x14ac:dyDescent="0.25">
      <c r="A110" s="161"/>
      <c r="B110" s="137"/>
      <c r="C110" s="161"/>
      <c r="D110" s="38" t="s">
        <v>18</v>
      </c>
      <c r="E110" s="21">
        <f>F110+G110+H110+I110+J110</f>
        <v>0</v>
      </c>
      <c r="F110" s="21">
        <v>0</v>
      </c>
      <c r="G110" s="21">
        <v>0</v>
      </c>
      <c r="H110" s="21">
        <v>0</v>
      </c>
      <c r="I110" s="21">
        <v>0</v>
      </c>
      <c r="J110" s="21">
        <v>0</v>
      </c>
      <c r="K110" s="127"/>
    </row>
    <row r="111" spans="1:14" s="19" customFormat="1" ht="37.5" customHeight="1" x14ac:dyDescent="0.25">
      <c r="A111" s="161"/>
      <c r="B111" s="137"/>
      <c r="C111" s="161"/>
      <c r="D111" s="38" t="s">
        <v>12</v>
      </c>
      <c r="E111" s="21">
        <f>F111+G111+H111+I111+J111</f>
        <v>0</v>
      </c>
      <c r="F111" s="21">
        <v>0</v>
      </c>
      <c r="G111" s="21">
        <v>0</v>
      </c>
      <c r="H111" s="21">
        <v>0</v>
      </c>
      <c r="I111" s="21">
        <v>0</v>
      </c>
      <c r="J111" s="21">
        <v>0</v>
      </c>
      <c r="K111" s="127"/>
    </row>
    <row r="112" spans="1:14" ht="27.75" customHeight="1" x14ac:dyDescent="0.3">
      <c r="A112" s="161">
        <v>5</v>
      </c>
      <c r="B112" s="137" t="s">
        <v>148</v>
      </c>
      <c r="C112" s="161" t="s">
        <v>67</v>
      </c>
      <c r="D112" s="38" t="s">
        <v>14</v>
      </c>
      <c r="E112" s="21">
        <f>E113+E114+E115</f>
        <v>28562.78</v>
      </c>
      <c r="F112" s="21">
        <f>F113+F114+F115</f>
        <v>0</v>
      </c>
      <c r="G112" s="21">
        <v>22075.57</v>
      </c>
      <c r="H112" s="21">
        <f>H113+H114+H115</f>
        <v>6487.2099999999991</v>
      </c>
      <c r="I112" s="21">
        <f t="shared" ref="I112:J112" si="36">I113+I114+I115</f>
        <v>0</v>
      </c>
      <c r="J112" s="21">
        <f t="shared" si="36"/>
        <v>0</v>
      </c>
      <c r="K112" s="127" t="s">
        <v>17</v>
      </c>
    </row>
    <row r="113" spans="1:11" ht="32.25" customHeight="1" x14ac:dyDescent="0.3">
      <c r="A113" s="161"/>
      <c r="B113" s="137"/>
      <c r="C113" s="161"/>
      <c r="D113" s="38" t="s">
        <v>10</v>
      </c>
      <c r="E113" s="21">
        <f>F113+G113+H113+I113+J113</f>
        <v>16742.3</v>
      </c>
      <c r="F113" s="21">
        <v>0</v>
      </c>
      <c r="G113" s="21">
        <v>13775.16</v>
      </c>
      <c r="H113" s="21">
        <v>2967.14</v>
      </c>
      <c r="I113" s="21">
        <v>0</v>
      </c>
      <c r="J113" s="21">
        <v>0</v>
      </c>
      <c r="K113" s="127"/>
    </row>
    <row r="114" spans="1:11" s="19" customFormat="1" ht="33.75" customHeight="1" x14ac:dyDescent="0.25">
      <c r="A114" s="161"/>
      <c r="B114" s="137"/>
      <c r="C114" s="161"/>
      <c r="D114" s="38" t="s">
        <v>18</v>
      </c>
      <c r="E114" s="21">
        <f>F114+G114+H114+I114+J114</f>
        <v>11820.48</v>
      </c>
      <c r="F114" s="21">
        <v>0</v>
      </c>
      <c r="G114" s="21">
        <v>8300.41</v>
      </c>
      <c r="H114" s="21">
        <f>277.49+3242.58</f>
        <v>3520.0699999999997</v>
      </c>
      <c r="I114" s="21">
        <v>0</v>
      </c>
      <c r="J114" s="21">
        <v>0</v>
      </c>
      <c r="K114" s="127"/>
    </row>
    <row r="115" spans="1:11" s="19" customFormat="1" ht="33.75" customHeight="1" x14ac:dyDescent="0.25">
      <c r="A115" s="161"/>
      <c r="B115" s="137"/>
      <c r="C115" s="161"/>
      <c r="D115" s="38" t="s">
        <v>12</v>
      </c>
      <c r="E115" s="21">
        <f>F115+G115+H115+I115+J115</f>
        <v>0</v>
      </c>
      <c r="F115" s="21">
        <v>0</v>
      </c>
      <c r="G115" s="21">
        <v>0</v>
      </c>
      <c r="H115" s="21">
        <v>0</v>
      </c>
      <c r="I115" s="21">
        <v>0</v>
      </c>
      <c r="J115" s="21">
        <v>0</v>
      </c>
      <c r="K115" s="127"/>
    </row>
    <row r="116" spans="1:11" ht="32.25" customHeight="1" x14ac:dyDescent="0.3">
      <c r="A116" s="161">
        <v>6</v>
      </c>
      <c r="B116" s="137" t="s">
        <v>342</v>
      </c>
      <c r="C116" s="161" t="s">
        <v>67</v>
      </c>
      <c r="D116" s="38" t="s">
        <v>14</v>
      </c>
      <c r="E116" s="21">
        <f>E117+E118+E119</f>
        <v>11797.86</v>
      </c>
      <c r="F116" s="21">
        <f t="shared" ref="F116" si="37">F117+F118+F119</f>
        <v>0</v>
      </c>
      <c r="G116" s="21">
        <v>10065.67</v>
      </c>
      <c r="H116" s="21">
        <f>H117+H118+H119</f>
        <v>1732.19</v>
      </c>
      <c r="I116" s="21">
        <f t="shared" ref="I116:J116" si="38">I117+I118+I119</f>
        <v>0</v>
      </c>
      <c r="J116" s="21">
        <f t="shared" si="38"/>
        <v>0</v>
      </c>
      <c r="K116" s="127" t="s">
        <v>17</v>
      </c>
    </row>
    <row r="117" spans="1:11" ht="32.25" customHeight="1" x14ac:dyDescent="0.3">
      <c r="A117" s="161"/>
      <c r="B117" s="137"/>
      <c r="C117" s="161"/>
      <c r="D117" s="38" t="s">
        <v>10</v>
      </c>
      <c r="E117" s="21">
        <f>F117+G117+H117+I117+J117</f>
        <v>7097.32</v>
      </c>
      <c r="F117" s="21">
        <v>0</v>
      </c>
      <c r="G117" s="21">
        <v>6280.98</v>
      </c>
      <c r="H117" s="21">
        <v>816.34</v>
      </c>
      <c r="I117" s="21">
        <v>0</v>
      </c>
      <c r="J117" s="21">
        <v>0</v>
      </c>
      <c r="K117" s="127"/>
    </row>
    <row r="118" spans="1:11" s="19" customFormat="1" ht="35.25" customHeight="1" x14ac:dyDescent="0.25">
      <c r="A118" s="161"/>
      <c r="B118" s="137"/>
      <c r="C118" s="161"/>
      <c r="D118" s="38" t="s">
        <v>18</v>
      </c>
      <c r="E118" s="21">
        <f>F118+G118+H118+I118+J118</f>
        <v>4700.54</v>
      </c>
      <c r="F118" s="21">
        <v>0</v>
      </c>
      <c r="G118" s="21">
        <v>3784.69</v>
      </c>
      <c r="H118" s="21">
        <f>122.2+793.65</f>
        <v>915.85</v>
      </c>
      <c r="I118" s="21">
        <v>0</v>
      </c>
      <c r="J118" s="21">
        <v>0</v>
      </c>
      <c r="K118" s="127"/>
    </row>
    <row r="119" spans="1:11" s="19" customFormat="1" ht="35.25" customHeight="1" x14ac:dyDescent="0.25">
      <c r="A119" s="161"/>
      <c r="B119" s="137"/>
      <c r="C119" s="161"/>
      <c r="D119" s="38" t="s">
        <v>12</v>
      </c>
      <c r="E119" s="21">
        <f>F119+G119+H119+I119+J119</f>
        <v>0</v>
      </c>
      <c r="F119" s="21">
        <v>0</v>
      </c>
      <c r="G119" s="21">
        <v>0</v>
      </c>
      <c r="H119" s="21">
        <v>0</v>
      </c>
      <c r="I119" s="21">
        <v>0</v>
      </c>
      <c r="J119" s="21">
        <v>0</v>
      </c>
      <c r="K119" s="127"/>
    </row>
    <row r="120" spans="1:11" ht="32.25" customHeight="1" x14ac:dyDescent="0.3">
      <c r="A120" s="161">
        <v>7</v>
      </c>
      <c r="B120" s="137" t="s">
        <v>344</v>
      </c>
      <c r="C120" s="161" t="s">
        <v>67</v>
      </c>
      <c r="D120" s="38" t="s">
        <v>14</v>
      </c>
      <c r="E120" s="21">
        <f>E121+E122+E123</f>
        <v>54894.61</v>
      </c>
      <c r="F120" s="21">
        <f>F121+F122+F123</f>
        <v>0</v>
      </c>
      <c r="G120" s="21">
        <v>39088.33</v>
      </c>
      <c r="H120" s="21">
        <f>H121+H122+H123</f>
        <v>15806.28</v>
      </c>
      <c r="I120" s="21">
        <f t="shared" ref="I120:J120" si="39">I121+I122+I123</f>
        <v>0</v>
      </c>
      <c r="J120" s="21">
        <f t="shared" si="39"/>
        <v>0</v>
      </c>
      <c r="K120" s="127" t="s">
        <v>17</v>
      </c>
    </row>
    <row r="121" spans="1:11" ht="32.25" customHeight="1" x14ac:dyDescent="0.3">
      <c r="A121" s="161"/>
      <c r="B121" s="137"/>
      <c r="C121" s="161"/>
      <c r="D121" s="38" t="s">
        <v>10</v>
      </c>
      <c r="E121" s="21">
        <f>F121+G121+H121+I121+J121</f>
        <v>31460.879999999997</v>
      </c>
      <c r="F121" s="21">
        <v>0</v>
      </c>
      <c r="G121" s="21">
        <v>24391.119999999999</v>
      </c>
      <c r="H121" s="21">
        <v>7069.76</v>
      </c>
      <c r="I121" s="21">
        <v>0</v>
      </c>
      <c r="J121" s="21">
        <v>0</v>
      </c>
      <c r="K121" s="127"/>
    </row>
    <row r="122" spans="1:11" s="19" customFormat="1" ht="33.75" customHeight="1" x14ac:dyDescent="0.25">
      <c r="A122" s="161"/>
      <c r="B122" s="137"/>
      <c r="C122" s="161"/>
      <c r="D122" s="38" t="s">
        <v>18</v>
      </c>
      <c r="E122" s="21">
        <f>F122+G122+H122+I122+J122</f>
        <v>23433.73</v>
      </c>
      <c r="F122" s="21">
        <v>0</v>
      </c>
      <c r="G122" s="21">
        <v>14697.21</v>
      </c>
      <c r="H122" s="21">
        <f>356.45+8380.07</f>
        <v>8736.52</v>
      </c>
      <c r="I122" s="21">
        <v>0</v>
      </c>
      <c r="J122" s="21">
        <v>0</v>
      </c>
      <c r="K122" s="127"/>
    </row>
    <row r="123" spans="1:11" s="19" customFormat="1" ht="33.75" customHeight="1" x14ac:dyDescent="0.25">
      <c r="A123" s="161"/>
      <c r="B123" s="137"/>
      <c r="C123" s="161"/>
      <c r="D123" s="38" t="s">
        <v>12</v>
      </c>
      <c r="E123" s="21">
        <f>F123+G123+H123+I123+J123</f>
        <v>0</v>
      </c>
      <c r="F123" s="21">
        <v>0</v>
      </c>
      <c r="G123" s="21">
        <v>0</v>
      </c>
      <c r="H123" s="21">
        <v>0</v>
      </c>
      <c r="I123" s="21">
        <v>0</v>
      </c>
      <c r="J123" s="21">
        <v>0</v>
      </c>
      <c r="K123" s="127"/>
    </row>
    <row r="124" spans="1:11" ht="32.25" customHeight="1" x14ac:dyDescent="0.3">
      <c r="A124" s="161">
        <v>8</v>
      </c>
      <c r="B124" s="137" t="s">
        <v>346</v>
      </c>
      <c r="C124" s="161" t="s">
        <v>67</v>
      </c>
      <c r="D124" s="38" t="s">
        <v>14</v>
      </c>
      <c r="E124" s="21">
        <f>E125+E126+E127</f>
        <v>15068.59</v>
      </c>
      <c r="F124" s="21">
        <f>F125+F126+F127</f>
        <v>0</v>
      </c>
      <c r="G124" s="21">
        <v>15068.59</v>
      </c>
      <c r="H124" s="21">
        <f t="shared" ref="H124:J124" si="40">H125+H126+H127</f>
        <v>0</v>
      </c>
      <c r="I124" s="21">
        <f t="shared" si="40"/>
        <v>0</v>
      </c>
      <c r="J124" s="21">
        <f t="shared" si="40"/>
        <v>0</v>
      </c>
      <c r="K124" s="127" t="s">
        <v>17</v>
      </c>
    </row>
    <row r="125" spans="1:11" ht="32.25" customHeight="1" x14ac:dyDescent="0.3">
      <c r="A125" s="161"/>
      <c r="B125" s="137"/>
      <c r="C125" s="161"/>
      <c r="D125" s="38" t="s">
        <v>10</v>
      </c>
      <c r="E125" s="21">
        <f>F125+G125+H125+I125+J125</f>
        <v>9402.7999999999993</v>
      </c>
      <c r="F125" s="21">
        <v>0</v>
      </c>
      <c r="G125" s="21">
        <v>9402.7999999999993</v>
      </c>
      <c r="H125" s="21">
        <v>0</v>
      </c>
      <c r="I125" s="21">
        <v>0</v>
      </c>
      <c r="J125" s="21">
        <v>0</v>
      </c>
      <c r="K125" s="127"/>
    </row>
    <row r="126" spans="1:11" s="19" customFormat="1" ht="33.75" customHeight="1" x14ac:dyDescent="0.25">
      <c r="A126" s="161"/>
      <c r="B126" s="137"/>
      <c r="C126" s="161"/>
      <c r="D126" s="38" t="s">
        <v>18</v>
      </c>
      <c r="E126" s="21">
        <f>F126+G126+H126+I126+J126</f>
        <v>5665.79</v>
      </c>
      <c r="F126" s="21">
        <v>0</v>
      </c>
      <c r="G126" s="21">
        <v>5665.79</v>
      </c>
      <c r="H126" s="21">
        <v>0</v>
      </c>
      <c r="I126" s="21">
        <v>0</v>
      </c>
      <c r="J126" s="21">
        <v>0</v>
      </c>
      <c r="K126" s="127"/>
    </row>
    <row r="127" spans="1:11" s="19" customFormat="1" ht="33.75" customHeight="1" x14ac:dyDescent="0.25">
      <c r="A127" s="161"/>
      <c r="B127" s="137"/>
      <c r="C127" s="161"/>
      <c r="D127" s="38" t="s">
        <v>12</v>
      </c>
      <c r="E127" s="21">
        <f>F127+G127+H127+I127+J127</f>
        <v>0</v>
      </c>
      <c r="F127" s="21">
        <v>0</v>
      </c>
      <c r="G127" s="21">
        <v>0</v>
      </c>
      <c r="H127" s="21">
        <v>0</v>
      </c>
      <c r="I127" s="21">
        <v>0</v>
      </c>
      <c r="J127" s="21">
        <v>0</v>
      </c>
      <c r="K127" s="127"/>
    </row>
    <row r="128" spans="1:11" ht="32.25" customHeight="1" x14ac:dyDescent="0.3">
      <c r="A128" s="161">
        <v>9</v>
      </c>
      <c r="B128" s="137" t="s">
        <v>343</v>
      </c>
      <c r="C128" s="161" t="s">
        <v>67</v>
      </c>
      <c r="D128" s="38" t="s">
        <v>14</v>
      </c>
      <c r="E128" s="21">
        <f>E129+E130+E131</f>
        <v>23623.91</v>
      </c>
      <c r="F128" s="21">
        <f>F129+F130+F131</f>
        <v>0</v>
      </c>
      <c r="G128" s="21">
        <v>23623.91</v>
      </c>
      <c r="H128" s="21">
        <f>H129+H130+H131</f>
        <v>0</v>
      </c>
      <c r="I128" s="21">
        <f t="shared" ref="I128:J128" si="41">I129+I130+I131</f>
        <v>0</v>
      </c>
      <c r="J128" s="21">
        <f t="shared" si="41"/>
        <v>0</v>
      </c>
      <c r="K128" s="127" t="s">
        <v>17</v>
      </c>
    </row>
    <row r="129" spans="1:11" ht="32.25" customHeight="1" x14ac:dyDescent="0.3">
      <c r="A129" s="161"/>
      <c r="B129" s="137"/>
      <c r="C129" s="161"/>
      <c r="D129" s="38" t="s">
        <v>10</v>
      </c>
      <c r="E129" s="21">
        <f>F129+G129+H129+I129+J129</f>
        <v>14741.32</v>
      </c>
      <c r="F129" s="21">
        <v>0</v>
      </c>
      <c r="G129" s="21">
        <v>14741.32</v>
      </c>
      <c r="H129" s="21">
        <v>0</v>
      </c>
      <c r="I129" s="21">
        <v>0</v>
      </c>
      <c r="J129" s="21">
        <v>0</v>
      </c>
      <c r="K129" s="127"/>
    </row>
    <row r="130" spans="1:11" s="19" customFormat="1" ht="34.5" customHeight="1" x14ac:dyDescent="0.25">
      <c r="A130" s="161"/>
      <c r="B130" s="137"/>
      <c r="C130" s="161"/>
      <c r="D130" s="38" t="s">
        <v>18</v>
      </c>
      <c r="E130" s="21">
        <f>F130+G130+H130+I130+J130</f>
        <v>8882.59</v>
      </c>
      <c r="F130" s="21">
        <v>0</v>
      </c>
      <c r="G130" s="21">
        <v>8882.59</v>
      </c>
      <c r="H130" s="21">
        <v>0</v>
      </c>
      <c r="I130" s="21">
        <v>0</v>
      </c>
      <c r="J130" s="21">
        <v>0</v>
      </c>
      <c r="K130" s="127"/>
    </row>
    <row r="131" spans="1:11" s="19" customFormat="1" ht="34.5" customHeight="1" x14ac:dyDescent="0.25">
      <c r="A131" s="161"/>
      <c r="B131" s="137"/>
      <c r="C131" s="161"/>
      <c r="D131" s="38" t="s">
        <v>12</v>
      </c>
      <c r="E131" s="21">
        <f>F131+G131+H131+I131+J131</f>
        <v>0</v>
      </c>
      <c r="F131" s="21">
        <v>0</v>
      </c>
      <c r="G131" s="21">
        <v>0</v>
      </c>
      <c r="H131" s="21">
        <v>0</v>
      </c>
      <c r="I131" s="21">
        <v>0</v>
      </c>
      <c r="J131" s="21">
        <v>0</v>
      </c>
      <c r="K131" s="127"/>
    </row>
    <row r="132" spans="1:11" ht="32.25" customHeight="1" x14ac:dyDescent="0.3">
      <c r="A132" s="161">
        <v>10</v>
      </c>
      <c r="B132" s="137" t="s">
        <v>149</v>
      </c>
      <c r="C132" s="161" t="s">
        <v>67</v>
      </c>
      <c r="D132" s="38" t="s">
        <v>14</v>
      </c>
      <c r="E132" s="21">
        <f>E133+E134+E135</f>
        <v>0</v>
      </c>
      <c r="F132" s="21">
        <f>F133+F134+F135</f>
        <v>0</v>
      </c>
      <c r="G132" s="21">
        <f>G133+G134+G135</f>
        <v>0</v>
      </c>
      <c r="H132" s="21">
        <f t="shared" ref="H132:J132" si="42">H133+H134+H135</f>
        <v>0</v>
      </c>
      <c r="I132" s="21">
        <f t="shared" si="42"/>
        <v>0</v>
      </c>
      <c r="J132" s="21">
        <f t="shared" si="42"/>
        <v>0</v>
      </c>
      <c r="K132" s="127" t="s">
        <v>17</v>
      </c>
    </row>
    <row r="133" spans="1:11" ht="32.25" customHeight="1" x14ac:dyDescent="0.3">
      <c r="A133" s="161"/>
      <c r="B133" s="137"/>
      <c r="C133" s="161"/>
      <c r="D133" s="38" t="s">
        <v>10</v>
      </c>
      <c r="E133" s="21">
        <v>0</v>
      </c>
      <c r="F133" s="21">
        <v>0</v>
      </c>
      <c r="G133" s="21">
        <v>0</v>
      </c>
      <c r="H133" s="21">
        <v>0</v>
      </c>
      <c r="I133" s="21">
        <v>0</v>
      </c>
      <c r="J133" s="21">
        <v>0</v>
      </c>
      <c r="K133" s="127"/>
    </row>
    <row r="134" spans="1:11" s="19" customFormat="1" ht="33" customHeight="1" x14ac:dyDescent="0.25">
      <c r="A134" s="161"/>
      <c r="B134" s="137"/>
      <c r="C134" s="161"/>
      <c r="D134" s="38" t="s">
        <v>18</v>
      </c>
      <c r="E134" s="21">
        <f>F134+G134+H134+I134+J134</f>
        <v>0</v>
      </c>
      <c r="F134" s="21">
        <v>0</v>
      </c>
      <c r="G134" s="21">
        <v>0</v>
      </c>
      <c r="H134" s="21">
        <v>0</v>
      </c>
      <c r="I134" s="21">
        <v>0</v>
      </c>
      <c r="J134" s="21">
        <v>0</v>
      </c>
      <c r="K134" s="127"/>
    </row>
    <row r="135" spans="1:11" s="19" customFormat="1" ht="33" customHeight="1" x14ac:dyDescent="0.25">
      <c r="A135" s="161"/>
      <c r="B135" s="137"/>
      <c r="C135" s="161"/>
      <c r="D135" s="38" t="s">
        <v>12</v>
      </c>
      <c r="E135" s="21">
        <f>F135+G135+H135+I135+J135</f>
        <v>0</v>
      </c>
      <c r="F135" s="21">
        <v>0</v>
      </c>
      <c r="G135" s="21">
        <v>0</v>
      </c>
      <c r="H135" s="21">
        <v>0</v>
      </c>
      <c r="I135" s="21">
        <v>0</v>
      </c>
      <c r="J135" s="21">
        <v>0</v>
      </c>
      <c r="K135" s="127"/>
    </row>
    <row r="136" spans="1:11" ht="32.25" customHeight="1" x14ac:dyDescent="0.3">
      <c r="A136" s="161">
        <v>11</v>
      </c>
      <c r="B136" s="137" t="s">
        <v>150</v>
      </c>
      <c r="C136" s="161" t="s">
        <v>67</v>
      </c>
      <c r="D136" s="38" t="s">
        <v>14</v>
      </c>
      <c r="E136" s="21">
        <f>E137+E138+E139</f>
        <v>40296.479999999996</v>
      </c>
      <c r="F136" s="21">
        <f>F137+F138+F139</f>
        <v>0</v>
      </c>
      <c r="G136" s="21">
        <v>40296.480000000003</v>
      </c>
      <c r="H136" s="21">
        <f t="shared" ref="H136:J136" si="43">H137+H138+H139</f>
        <v>0</v>
      </c>
      <c r="I136" s="21">
        <f t="shared" si="43"/>
        <v>0</v>
      </c>
      <c r="J136" s="21">
        <f t="shared" si="43"/>
        <v>0</v>
      </c>
      <c r="K136" s="127" t="s">
        <v>17</v>
      </c>
    </row>
    <row r="137" spans="1:11" ht="32.25" customHeight="1" x14ac:dyDescent="0.3">
      <c r="A137" s="161"/>
      <c r="B137" s="137"/>
      <c r="C137" s="161"/>
      <c r="D137" s="38" t="s">
        <v>10</v>
      </c>
      <c r="E137" s="21">
        <f>F137+G137+H137+I137+J137</f>
        <v>25145</v>
      </c>
      <c r="F137" s="21">
        <v>0</v>
      </c>
      <c r="G137" s="21">
        <v>25145</v>
      </c>
      <c r="H137" s="21">
        <v>0</v>
      </c>
      <c r="I137" s="21">
        <v>0</v>
      </c>
      <c r="J137" s="21">
        <v>0</v>
      </c>
      <c r="K137" s="127"/>
    </row>
    <row r="138" spans="1:11" s="19" customFormat="1" ht="32.25" customHeight="1" x14ac:dyDescent="0.25">
      <c r="A138" s="161"/>
      <c r="B138" s="137"/>
      <c r="C138" s="161"/>
      <c r="D138" s="38" t="s">
        <v>18</v>
      </c>
      <c r="E138" s="21">
        <f>F138+G138+H138+I138+J138</f>
        <v>15151.48</v>
      </c>
      <c r="F138" s="21">
        <v>0</v>
      </c>
      <c r="G138" s="21">
        <v>15151.48</v>
      </c>
      <c r="H138" s="21">
        <v>0</v>
      </c>
      <c r="I138" s="21">
        <v>0</v>
      </c>
      <c r="J138" s="21">
        <v>0</v>
      </c>
      <c r="K138" s="127"/>
    </row>
    <row r="139" spans="1:11" s="19" customFormat="1" ht="32.25" customHeight="1" x14ac:dyDescent="0.25">
      <c r="A139" s="161"/>
      <c r="B139" s="137"/>
      <c r="C139" s="161"/>
      <c r="D139" s="38" t="s">
        <v>12</v>
      </c>
      <c r="E139" s="21">
        <f>F139+G139+H139+I139+J139</f>
        <v>0</v>
      </c>
      <c r="F139" s="21">
        <v>0</v>
      </c>
      <c r="G139" s="21">
        <v>0</v>
      </c>
      <c r="H139" s="21">
        <v>0</v>
      </c>
      <c r="I139" s="21">
        <v>0</v>
      </c>
      <c r="J139" s="21">
        <v>0</v>
      </c>
      <c r="K139" s="127"/>
    </row>
    <row r="140" spans="1:11" ht="32.25" customHeight="1" x14ac:dyDescent="0.3">
      <c r="A140" s="161">
        <v>12</v>
      </c>
      <c r="B140" s="137" t="s">
        <v>151</v>
      </c>
      <c r="C140" s="161" t="s">
        <v>67</v>
      </c>
      <c r="D140" s="38" t="s">
        <v>14</v>
      </c>
      <c r="E140" s="21">
        <f>E141+E142+E143</f>
        <v>0</v>
      </c>
      <c r="F140" s="21">
        <f>F141+F142+F143</f>
        <v>0</v>
      </c>
      <c r="G140" s="21">
        <f>G141+G142+G143</f>
        <v>0</v>
      </c>
      <c r="H140" s="21">
        <f t="shared" ref="H140:J140" si="44">H141+H142+H143</f>
        <v>0</v>
      </c>
      <c r="I140" s="21">
        <f t="shared" si="44"/>
        <v>0</v>
      </c>
      <c r="J140" s="21">
        <f t="shared" si="44"/>
        <v>0</v>
      </c>
      <c r="K140" s="127" t="s">
        <v>17</v>
      </c>
    </row>
    <row r="141" spans="1:11" ht="32.25" customHeight="1" x14ac:dyDescent="0.3">
      <c r="A141" s="161"/>
      <c r="B141" s="137"/>
      <c r="C141" s="161"/>
      <c r="D141" s="38" t="s">
        <v>10</v>
      </c>
      <c r="E141" s="21">
        <v>0</v>
      </c>
      <c r="F141" s="21">
        <v>0</v>
      </c>
      <c r="G141" s="21">
        <v>0</v>
      </c>
      <c r="H141" s="21">
        <v>0</v>
      </c>
      <c r="I141" s="21">
        <v>0</v>
      </c>
      <c r="J141" s="21">
        <v>0</v>
      </c>
      <c r="K141" s="127"/>
    </row>
    <row r="142" spans="1:11" s="19" customFormat="1" ht="36" customHeight="1" x14ac:dyDescent="0.25">
      <c r="A142" s="161"/>
      <c r="B142" s="137"/>
      <c r="C142" s="161"/>
      <c r="D142" s="38" t="s">
        <v>18</v>
      </c>
      <c r="E142" s="21">
        <f>F142+G142+H142+I142+J142</f>
        <v>0</v>
      </c>
      <c r="F142" s="21">
        <v>0</v>
      </c>
      <c r="G142" s="21">
        <v>0</v>
      </c>
      <c r="H142" s="21">
        <v>0</v>
      </c>
      <c r="I142" s="21">
        <v>0</v>
      </c>
      <c r="J142" s="21">
        <v>0</v>
      </c>
      <c r="K142" s="127"/>
    </row>
    <row r="143" spans="1:11" s="19" customFormat="1" ht="36" customHeight="1" x14ac:dyDescent="0.25">
      <c r="A143" s="161"/>
      <c r="B143" s="137"/>
      <c r="C143" s="161"/>
      <c r="D143" s="38" t="s">
        <v>12</v>
      </c>
      <c r="E143" s="21">
        <f>F143+G143+H143+I143+J143</f>
        <v>0</v>
      </c>
      <c r="F143" s="21">
        <v>0</v>
      </c>
      <c r="G143" s="21">
        <v>0</v>
      </c>
      <c r="H143" s="21">
        <v>0</v>
      </c>
      <c r="I143" s="21">
        <v>0</v>
      </c>
      <c r="J143" s="21">
        <v>0</v>
      </c>
      <c r="K143" s="127"/>
    </row>
    <row r="144" spans="1:11" ht="30" customHeight="1" x14ac:dyDescent="0.3">
      <c r="A144" s="161">
        <v>13</v>
      </c>
      <c r="B144" s="137" t="s">
        <v>345</v>
      </c>
      <c r="C144" s="161" t="s">
        <v>67</v>
      </c>
      <c r="D144" s="38" t="s">
        <v>14</v>
      </c>
      <c r="E144" s="21">
        <f>E145+E146+E147</f>
        <v>56409.27</v>
      </c>
      <c r="F144" s="21">
        <f>F145+F146+F147</f>
        <v>0</v>
      </c>
      <c r="G144" s="21">
        <v>51971.869999999995</v>
      </c>
      <c r="H144" s="21">
        <f>H145+H146+H147</f>
        <v>4437.3999999999996</v>
      </c>
      <c r="I144" s="21">
        <f t="shared" ref="I144:J144" si="45">I145+I146+I147</f>
        <v>0</v>
      </c>
      <c r="J144" s="21">
        <f t="shared" si="45"/>
        <v>0</v>
      </c>
      <c r="K144" s="127" t="s">
        <v>17</v>
      </c>
    </row>
    <row r="145" spans="1:11" ht="32.25" customHeight="1" x14ac:dyDescent="0.3">
      <c r="A145" s="161"/>
      <c r="B145" s="137"/>
      <c r="C145" s="161"/>
      <c r="D145" s="38" t="s">
        <v>10</v>
      </c>
      <c r="E145" s="21">
        <f>F145+G145+H145+I145+J145</f>
        <v>34417.89</v>
      </c>
      <c r="F145" s="21">
        <v>0</v>
      </c>
      <c r="G145" s="21">
        <v>32430.45</v>
      </c>
      <c r="H145" s="21">
        <v>1987.44</v>
      </c>
      <c r="I145" s="21">
        <v>0</v>
      </c>
      <c r="J145" s="21">
        <v>0</v>
      </c>
      <c r="K145" s="127"/>
    </row>
    <row r="146" spans="1:11" s="19" customFormat="1" ht="34.5" customHeight="1" x14ac:dyDescent="0.25">
      <c r="A146" s="161"/>
      <c r="B146" s="137"/>
      <c r="C146" s="161"/>
      <c r="D146" s="38" t="s">
        <v>18</v>
      </c>
      <c r="E146" s="21">
        <f>F146+G146+H146+I146+J146</f>
        <v>21991.379999999997</v>
      </c>
      <c r="F146" s="21">
        <v>0</v>
      </c>
      <c r="G146" s="21">
        <v>19541.419999999998</v>
      </c>
      <c r="H146" s="21">
        <f>105.47+2344.49</f>
        <v>2449.9599999999996</v>
      </c>
      <c r="I146" s="21">
        <v>0</v>
      </c>
      <c r="J146" s="21">
        <v>0</v>
      </c>
      <c r="K146" s="127"/>
    </row>
    <row r="147" spans="1:11" s="19" customFormat="1" ht="34.5" customHeight="1" x14ac:dyDescent="0.25">
      <c r="A147" s="161"/>
      <c r="B147" s="137"/>
      <c r="C147" s="161"/>
      <c r="D147" s="38" t="s">
        <v>12</v>
      </c>
      <c r="E147" s="21">
        <f>F147+G147+H147+I147+J147</f>
        <v>0</v>
      </c>
      <c r="F147" s="21">
        <v>0</v>
      </c>
      <c r="G147" s="21">
        <v>0</v>
      </c>
      <c r="H147" s="21">
        <v>0</v>
      </c>
      <c r="I147" s="21">
        <v>0</v>
      </c>
      <c r="J147" s="21">
        <v>0</v>
      </c>
      <c r="K147" s="127"/>
    </row>
    <row r="148" spans="1:11" ht="30" customHeight="1" x14ac:dyDescent="0.3">
      <c r="A148" s="161">
        <v>14</v>
      </c>
      <c r="B148" s="137" t="s">
        <v>154</v>
      </c>
      <c r="C148" s="161" t="s">
        <v>67</v>
      </c>
      <c r="D148" s="38" t="s">
        <v>14</v>
      </c>
      <c r="E148" s="21">
        <f>E149+E150+E151</f>
        <v>77343.820000000007</v>
      </c>
      <c r="F148" s="21">
        <f>F149+F150+F151</f>
        <v>0</v>
      </c>
      <c r="G148" s="21">
        <v>77343.820000000007</v>
      </c>
      <c r="H148" s="21">
        <f t="shared" ref="H148:J148" si="46">H149+H150+H151</f>
        <v>0</v>
      </c>
      <c r="I148" s="21">
        <f t="shared" si="46"/>
        <v>0</v>
      </c>
      <c r="J148" s="21">
        <f t="shared" si="46"/>
        <v>0</v>
      </c>
      <c r="K148" s="127" t="s">
        <v>17</v>
      </c>
    </row>
    <row r="149" spans="1:11" ht="32.25" customHeight="1" x14ac:dyDescent="0.3">
      <c r="A149" s="161"/>
      <c r="B149" s="137"/>
      <c r="C149" s="161"/>
      <c r="D149" s="38" t="s">
        <v>10</v>
      </c>
      <c r="E149" s="21">
        <f>F149+G149+H149+I149+J149</f>
        <v>48262.54</v>
      </c>
      <c r="F149" s="21">
        <v>0</v>
      </c>
      <c r="G149" s="21">
        <v>48262.54</v>
      </c>
      <c r="H149" s="21">
        <v>0</v>
      </c>
      <c r="I149" s="21">
        <v>0</v>
      </c>
      <c r="J149" s="21">
        <v>0</v>
      </c>
      <c r="K149" s="127"/>
    </row>
    <row r="150" spans="1:11" s="19" customFormat="1" ht="34.5" customHeight="1" x14ac:dyDescent="0.25">
      <c r="A150" s="161"/>
      <c r="B150" s="137"/>
      <c r="C150" s="161"/>
      <c r="D150" s="38" t="s">
        <v>18</v>
      </c>
      <c r="E150" s="21">
        <f>F150+G150+H150+I150+J150</f>
        <v>29081.279999999999</v>
      </c>
      <c r="F150" s="21">
        <v>0</v>
      </c>
      <c r="G150" s="21">
        <v>29081.279999999999</v>
      </c>
      <c r="H150" s="21">
        <v>0</v>
      </c>
      <c r="I150" s="21">
        <v>0</v>
      </c>
      <c r="J150" s="21">
        <v>0</v>
      </c>
      <c r="K150" s="127"/>
    </row>
    <row r="151" spans="1:11" s="19" customFormat="1" ht="34.5" customHeight="1" x14ac:dyDescent="0.25">
      <c r="A151" s="161"/>
      <c r="B151" s="137"/>
      <c r="C151" s="161"/>
      <c r="D151" s="38" t="s">
        <v>12</v>
      </c>
      <c r="E151" s="21">
        <f>F151+G151+H151+I151+J151</f>
        <v>0</v>
      </c>
      <c r="F151" s="21">
        <v>0</v>
      </c>
      <c r="G151" s="21">
        <v>0</v>
      </c>
      <c r="H151" s="21">
        <v>0</v>
      </c>
      <c r="I151" s="21">
        <v>0</v>
      </c>
      <c r="J151" s="21">
        <v>0</v>
      </c>
      <c r="K151" s="127"/>
    </row>
    <row r="152" spans="1:11" ht="30" customHeight="1" x14ac:dyDescent="0.3">
      <c r="A152" s="161">
        <v>15</v>
      </c>
      <c r="B152" s="137" t="s">
        <v>422</v>
      </c>
      <c r="C152" s="161" t="s">
        <v>67</v>
      </c>
      <c r="D152" s="38" t="s">
        <v>14</v>
      </c>
      <c r="E152" s="21">
        <f>E153+E154+E155</f>
        <v>43904.33</v>
      </c>
      <c r="F152" s="21">
        <f>F153+F154+F155</f>
        <v>0</v>
      </c>
      <c r="G152" s="21">
        <v>854</v>
      </c>
      <c r="H152" s="21">
        <f>H153+H154</f>
        <v>43050.33</v>
      </c>
      <c r="I152" s="21">
        <f t="shared" ref="I152:J152" si="47">I153+I154+I155</f>
        <v>0</v>
      </c>
      <c r="J152" s="21">
        <f t="shared" si="47"/>
        <v>0</v>
      </c>
      <c r="K152" s="127" t="s">
        <v>17</v>
      </c>
    </row>
    <row r="153" spans="1:11" ht="32.25" customHeight="1" x14ac:dyDescent="0.3">
      <c r="A153" s="161"/>
      <c r="B153" s="137"/>
      <c r="C153" s="161"/>
      <c r="D153" s="38" t="s">
        <v>10</v>
      </c>
      <c r="E153" s="21">
        <f>F153+G153+H153+I153+J153</f>
        <v>27396.36</v>
      </c>
      <c r="F153" s="21">
        <v>0</v>
      </c>
      <c r="G153" s="21">
        <v>532.95000000000005</v>
      </c>
      <c r="H153" s="21">
        <v>26863.41</v>
      </c>
      <c r="I153" s="21">
        <v>0</v>
      </c>
      <c r="J153" s="21">
        <v>0</v>
      </c>
      <c r="K153" s="127"/>
    </row>
    <row r="154" spans="1:11" s="19" customFormat="1" ht="34.5" customHeight="1" x14ac:dyDescent="0.25">
      <c r="A154" s="161"/>
      <c r="B154" s="137"/>
      <c r="C154" s="161"/>
      <c r="D154" s="38" t="s">
        <v>18</v>
      </c>
      <c r="E154" s="21">
        <f>F154+G154+H154+I154+J154</f>
        <v>16507.97</v>
      </c>
      <c r="F154" s="21">
        <v>0</v>
      </c>
      <c r="G154" s="21">
        <v>321.05</v>
      </c>
      <c r="H154" s="21">
        <f>9556.77+6630.15</f>
        <v>16186.92</v>
      </c>
      <c r="I154" s="21">
        <v>0</v>
      </c>
      <c r="J154" s="21">
        <v>0</v>
      </c>
      <c r="K154" s="127"/>
    </row>
    <row r="155" spans="1:11" s="19" customFormat="1" ht="34.5" customHeight="1" x14ac:dyDescent="0.25">
      <c r="A155" s="161"/>
      <c r="B155" s="137"/>
      <c r="C155" s="161"/>
      <c r="D155" s="38" t="s">
        <v>12</v>
      </c>
      <c r="E155" s="21">
        <f>F155+G155+H155+I155+J155</f>
        <v>0</v>
      </c>
      <c r="F155" s="21">
        <v>0</v>
      </c>
      <c r="G155" s="21">
        <v>0</v>
      </c>
      <c r="H155" s="21">
        <v>0</v>
      </c>
      <c r="I155" s="21">
        <v>0</v>
      </c>
      <c r="J155" s="21">
        <v>0</v>
      </c>
      <c r="K155" s="127"/>
    </row>
    <row r="156" spans="1:11" ht="21" customHeight="1" x14ac:dyDescent="0.3">
      <c r="B156" s="19"/>
      <c r="C156" s="19"/>
      <c r="D156" s="19"/>
      <c r="E156" s="19"/>
      <c r="F156" s="20"/>
      <c r="G156" s="64"/>
      <c r="H156" s="19"/>
      <c r="I156" s="19"/>
      <c r="J156" s="19"/>
      <c r="K156" s="19" t="s">
        <v>156</v>
      </c>
    </row>
    <row r="157" spans="1:11" ht="21" customHeight="1" x14ac:dyDescent="0.3">
      <c r="C157" s="19"/>
    </row>
    <row r="158" spans="1:11" ht="21" customHeight="1" x14ac:dyDescent="0.3">
      <c r="B158" s="19" t="s">
        <v>353</v>
      </c>
      <c r="C158" s="19"/>
      <c r="D158" s="19"/>
      <c r="E158" s="19"/>
      <c r="F158" s="20"/>
      <c r="G158" s="64"/>
      <c r="H158" s="20"/>
      <c r="I158" s="20"/>
      <c r="J158" s="20"/>
      <c r="K158" s="19" t="s">
        <v>354</v>
      </c>
    </row>
    <row r="161" spans="6:8" x14ac:dyDescent="0.3">
      <c r="F161" s="46"/>
      <c r="G161" s="46"/>
      <c r="H161" s="46"/>
    </row>
    <row r="162" spans="6:8" x14ac:dyDescent="0.3">
      <c r="F162" s="46"/>
      <c r="G162" s="46"/>
      <c r="H162" s="46"/>
    </row>
    <row r="163" spans="6:8" x14ac:dyDescent="0.3">
      <c r="F163" s="46"/>
      <c r="G163" s="46"/>
      <c r="H163" s="46"/>
    </row>
  </sheetData>
  <mergeCells count="171">
    <mergeCell ref="A17:A19"/>
    <mergeCell ref="B17:B19"/>
    <mergeCell ref="C17:C19"/>
    <mergeCell ref="K17:K19"/>
    <mergeCell ref="A15:A16"/>
    <mergeCell ref="B15:B16"/>
    <mergeCell ref="C15:C16"/>
    <mergeCell ref="K12:K16"/>
    <mergeCell ref="A10:K10"/>
    <mergeCell ref="A11:K11"/>
    <mergeCell ref="A12:A14"/>
    <mergeCell ref="B12:B14"/>
    <mergeCell ref="C12:C14"/>
    <mergeCell ref="A85:A88"/>
    <mergeCell ref="K85:K88"/>
    <mergeCell ref="A152:A155"/>
    <mergeCell ref="B152:B155"/>
    <mergeCell ref="C152:C155"/>
    <mergeCell ref="K152:K155"/>
    <mergeCell ref="A144:A147"/>
    <mergeCell ref="B144:B147"/>
    <mergeCell ref="C144:C147"/>
    <mergeCell ref="K144:K147"/>
    <mergeCell ref="A148:A151"/>
    <mergeCell ref="B148:B151"/>
    <mergeCell ref="C148:C151"/>
    <mergeCell ref="K148:K151"/>
    <mergeCell ref="A132:A135"/>
    <mergeCell ref="B132:B135"/>
    <mergeCell ref="C132:C135"/>
    <mergeCell ref="K132:K135"/>
    <mergeCell ref="A136:A139"/>
    <mergeCell ref="B136:B139"/>
    <mergeCell ref="C136:C139"/>
    <mergeCell ref="K136:K139"/>
    <mergeCell ref="A140:A143"/>
    <mergeCell ref="B140:B143"/>
    <mergeCell ref="C140:C143"/>
    <mergeCell ref="K140:K143"/>
    <mergeCell ref="A120:A123"/>
    <mergeCell ref="B120:B123"/>
    <mergeCell ref="C120:C123"/>
    <mergeCell ref="K120:K123"/>
    <mergeCell ref="A124:A127"/>
    <mergeCell ref="B124:B127"/>
    <mergeCell ref="C124:C127"/>
    <mergeCell ref="K124:K127"/>
    <mergeCell ref="A128:A131"/>
    <mergeCell ref="B128:B131"/>
    <mergeCell ref="C128:C131"/>
    <mergeCell ref="K128:K131"/>
    <mergeCell ref="A112:A115"/>
    <mergeCell ref="B112:B115"/>
    <mergeCell ref="C112:C115"/>
    <mergeCell ref="K112:K115"/>
    <mergeCell ref="A116:A119"/>
    <mergeCell ref="B116:B119"/>
    <mergeCell ref="C116:C119"/>
    <mergeCell ref="K116:K119"/>
    <mergeCell ref="A108:A111"/>
    <mergeCell ref="B108:B111"/>
    <mergeCell ref="C108:C111"/>
    <mergeCell ref="K108:K111"/>
    <mergeCell ref="A104:A107"/>
    <mergeCell ref="B104:B107"/>
    <mergeCell ref="C104:C107"/>
    <mergeCell ref="K104:K107"/>
    <mergeCell ref="A97:A99"/>
    <mergeCell ref="B97:B99"/>
    <mergeCell ref="C97:C99"/>
    <mergeCell ref="K97:K99"/>
    <mergeCell ref="A49:A51"/>
    <mergeCell ref="B49:B51"/>
    <mergeCell ref="C49:C51"/>
    <mergeCell ref="K49:K51"/>
    <mergeCell ref="A60:A63"/>
    <mergeCell ref="B60:B63"/>
    <mergeCell ref="C60:C63"/>
    <mergeCell ref="K60:K63"/>
    <mergeCell ref="A100:A103"/>
    <mergeCell ref="B100:B103"/>
    <mergeCell ref="C100:C103"/>
    <mergeCell ref="K100:K103"/>
    <mergeCell ref="A68:A71"/>
    <mergeCell ref="B68:B71"/>
    <mergeCell ref="C68:C71"/>
    <mergeCell ref="K68:K71"/>
    <mergeCell ref="A92:K92"/>
    <mergeCell ref="A93:A96"/>
    <mergeCell ref="B93:B96"/>
    <mergeCell ref="C93:C96"/>
    <mergeCell ref="K93:K96"/>
    <mergeCell ref="K72:K75"/>
    <mergeCell ref="A72:A75"/>
    <mergeCell ref="B72:B75"/>
    <mergeCell ref="A76:A79"/>
    <mergeCell ref="B76:B79"/>
    <mergeCell ref="C76:C79"/>
    <mergeCell ref="A80:A83"/>
    <mergeCell ref="B80:B83"/>
    <mergeCell ref="C80:C83"/>
    <mergeCell ref="K80:K83"/>
    <mergeCell ref="K76:K79"/>
    <mergeCell ref="C72:C75"/>
    <mergeCell ref="A84:K84"/>
    <mergeCell ref="A89:A91"/>
    <mergeCell ref="B89:B91"/>
    <mergeCell ref="C89:C91"/>
    <mergeCell ref="K89:K91"/>
    <mergeCell ref="C85:C88"/>
    <mergeCell ref="B85:B88"/>
    <mergeCell ref="A64:A67"/>
    <mergeCell ref="B64:B67"/>
    <mergeCell ref="C64:C67"/>
    <mergeCell ref="K64:K67"/>
    <mergeCell ref="E2:F2"/>
    <mergeCell ref="F7:J7"/>
    <mergeCell ref="K7:K8"/>
    <mergeCell ref="J2:K2"/>
    <mergeCell ref="A3:K3"/>
    <mergeCell ref="A5:K5"/>
    <mergeCell ref="A6:K6"/>
    <mergeCell ref="A7:A8"/>
    <mergeCell ref="B7:B8"/>
    <mergeCell ref="C7:C8"/>
    <mergeCell ref="D7:D8"/>
    <mergeCell ref="E7:E8"/>
    <mergeCell ref="C25:C27"/>
    <mergeCell ref="K45:K48"/>
    <mergeCell ref="A45:A48"/>
    <mergeCell ref="B45:B48"/>
    <mergeCell ref="C45:C48"/>
    <mergeCell ref="A20:K20"/>
    <mergeCell ref="A44:K44"/>
    <mergeCell ref="A21:K21"/>
    <mergeCell ref="A22:A24"/>
    <mergeCell ref="B22:B24"/>
    <mergeCell ref="C22:C24"/>
    <mergeCell ref="K22:K24"/>
    <mergeCell ref="A25:A27"/>
    <mergeCell ref="B25:B27"/>
    <mergeCell ref="B56:B59"/>
    <mergeCell ref="C56:C59"/>
    <mergeCell ref="K56:K59"/>
    <mergeCell ref="A56:A59"/>
    <mergeCell ref="K52:K55"/>
    <mergeCell ref="A52:A55"/>
    <mergeCell ref="B52:B55"/>
    <mergeCell ref="C52:C55"/>
    <mergeCell ref="K25:K27"/>
    <mergeCell ref="A28:K28"/>
    <mergeCell ref="A29:A31"/>
    <mergeCell ref="B29:B31"/>
    <mergeCell ref="C29:C31"/>
    <mergeCell ref="K29:K31"/>
    <mergeCell ref="A32:A34"/>
    <mergeCell ref="B32:B34"/>
    <mergeCell ref="C32:C34"/>
    <mergeCell ref="K32:K34"/>
    <mergeCell ref="A35:A37"/>
    <mergeCell ref="B35:B37"/>
    <mergeCell ref="C35:C37"/>
    <mergeCell ref="K35:K37"/>
    <mergeCell ref="A38:A40"/>
    <mergeCell ref="B38:B40"/>
    <mergeCell ref="C38:C40"/>
    <mergeCell ref="K38:K40"/>
    <mergeCell ref="A41:A43"/>
    <mergeCell ref="B41:B43"/>
    <mergeCell ref="C41:C43"/>
    <mergeCell ref="K41:K43"/>
  </mergeCells>
  <pageMargins left="0.25" right="0.25" top="0.75" bottom="0.75" header="0.3" footer="0.3"/>
  <pageSetup paperSize="9" scale="55" fitToHeight="0" orientation="landscape" r:id="rId1"/>
  <headerFooter differentFirst="1">
    <oddHeader>&amp;C&amp;P</oddHeader>
    <firstHeader xml:space="preserve">&amp;C
</firstHeader>
  </headerFooter>
  <rowBreaks count="6" manualBreakCount="6">
    <brk id="27" max="10" man="1"/>
    <brk id="51" max="10" man="1"/>
    <brk id="75" max="10" man="1"/>
    <brk id="99" max="10" man="1"/>
    <brk id="123" max="10" man="1"/>
    <brk id="147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Приложение 1</vt:lpstr>
      <vt:lpstr>Строительство и реконструкция</vt:lpstr>
      <vt:lpstr>Капитальный ремонт</vt:lpstr>
      <vt:lpstr>'Капитальный ремонт'!Заголовки_для_печати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2026-01-15T11:48:15Z</cp:lastPrinted>
  <dcterms:created xsi:type="dcterms:W3CDTF">2020-12-02T11:51:27Z</dcterms:created>
  <dcterms:modified xsi:type="dcterms:W3CDTF">2026-01-15T11:48:43Z</dcterms:modified>
</cp:coreProperties>
</file>